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Users\krist\GitHub\EuroAvinor2024\"/>
    </mc:Choice>
  </mc:AlternateContent>
  <xr:revisionPtr revIDLastSave="0" documentId="13_ncr:1_{39F56FE8-42C7-4B4C-AE0D-A3B2EAC9C1A6}"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108" yWindow="-108" windowWidth="23256" windowHeight="12456" firstSheet="1"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12" i="2" l="1"/>
  <c r="ALP34" i="2"/>
  <c r="ALP15" i="2"/>
  <c r="ALP33" i="2"/>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N33" i="2" s="1"/>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N3" i="2" s="1"/>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4" i="2" l="1"/>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L22" i="2" s="1"/>
  <c r="AVI10" i="2"/>
  <c r="AVL10" i="2" s="1"/>
  <c r="AVJ5" i="2"/>
  <c r="AVI23" i="2"/>
  <c r="AVJ20" i="2"/>
  <c r="AVJ8" i="2"/>
  <c r="AVI21" i="2"/>
  <c r="AVI20" i="2"/>
  <c r="AVJ13" i="2"/>
  <c r="AVI8" i="2"/>
  <c r="AVJ18" i="2"/>
  <c r="AVJ6" i="2"/>
  <c r="AVJ17" i="2"/>
  <c r="AVJ25" i="2"/>
  <c r="AVI18" i="2"/>
  <c r="AVI6" i="2"/>
  <c r="AVL6" i="2" s="1"/>
  <c r="AVI17" i="2"/>
  <c r="AVL17" i="2" s="1"/>
  <c r="AVJ15" i="2"/>
  <c r="AVJ37" i="2"/>
  <c r="AVI37" i="2"/>
  <c r="AVI13" i="2"/>
  <c r="AVJ38" i="2"/>
  <c r="AVJ32" i="2"/>
  <c r="AVJ30" i="2"/>
  <c r="AVJ21" i="2"/>
  <c r="AVJ16" i="2"/>
  <c r="AVJ35" i="2"/>
  <c r="AVJ11" i="2"/>
  <c r="AVI38" i="2"/>
  <c r="AVI32" i="2"/>
  <c r="AVI30" i="2"/>
  <c r="AVL30" i="2" s="1"/>
  <c r="AVI16" i="2"/>
  <c r="AVJ7" i="2"/>
  <c r="AVI33" i="2"/>
  <c r="AVI11" i="2"/>
  <c r="AVL11" i="2" s="1"/>
  <c r="AVJ36" i="2"/>
  <c r="AVJ28" i="2"/>
  <c r="AVJ19" i="2"/>
  <c r="AVJ4" i="2"/>
  <c r="AVJ29" i="2"/>
  <c r="AVJ9" i="2"/>
  <c r="AVI36" i="2"/>
  <c r="AVI28" i="2"/>
  <c r="AVJ26" i="2"/>
  <c r="AVJ14" i="2"/>
  <c r="AVJ12" i="2"/>
  <c r="AVI4" i="2"/>
  <c r="AVJ27" i="2"/>
  <c r="AVI7" i="2"/>
  <c r="AVJ34" i="2"/>
  <c r="AVJ24" i="2"/>
  <c r="AVI26" i="2"/>
  <c r="AVL26" i="2" s="1"/>
  <c r="AVI14" i="2"/>
  <c r="AVI12" i="2"/>
  <c r="AVL12" i="2" s="1"/>
  <c r="AVI24" i="2"/>
  <c r="AVI34" i="2"/>
  <c r="AVI29" i="2"/>
  <c r="AVL29" i="2" s="1"/>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4" i="2" l="1"/>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D20" i="2" s="1"/>
  <c r="JN38" i="2"/>
  <c r="JN39" i="2" s="1"/>
  <c r="TJ18" i="2"/>
  <c r="VA20" i="2" s="1"/>
  <c r="VJ20" i="2" s="1"/>
  <c r="U11" i="2"/>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BL33"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L14" i="2"/>
  <c r="AW34" i="2"/>
  <c r="BL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E20" i="2" l="1"/>
  <c r="P21" i="2"/>
  <c r="U21" i="2" s="1"/>
  <c r="AC20" i="2"/>
  <c r="R33" i="2"/>
  <c r="BM33" i="2"/>
  <c r="BJ34" i="2"/>
  <c r="BN34" i="2"/>
  <c r="BK34" i="2"/>
  <c r="BR34" i="2"/>
  <c r="BS34" i="2"/>
  <c r="BK33" i="2"/>
  <c r="BJ33" i="2"/>
  <c r="BQ34" i="2"/>
  <c r="BM34" i="2"/>
  <c r="AX32" i="2"/>
  <c r="AW32"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AU33" i="2"/>
  <c r="U34" i="2"/>
  <c r="AU32" i="2" l="1"/>
  <c r="BO34" i="2"/>
  <c r="BO7" i="2"/>
  <c r="BO13" i="2"/>
  <c r="AU34" i="2"/>
  <c r="BO6" i="2"/>
  <c r="FT34" i="2"/>
  <c r="FX34" i="2" s="1"/>
  <c r="KR21" i="2"/>
  <c r="KV21" i="2" s="1"/>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AA26" i="2" s="1"/>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AB26" i="2" s="1"/>
  <c r="AF26" i="2" s="1"/>
  <c r="BP39" i="2"/>
  <c r="BT39" i="2" s="1"/>
  <c r="BO28" i="2"/>
  <c r="UG40" i="2"/>
  <c r="UG21" i="2"/>
  <c r="AMW21" i="2"/>
  <c r="EW11" i="2"/>
  <c r="EX11" i="2"/>
  <c r="U39" i="2"/>
  <c r="W38" i="2" s="1"/>
  <c r="KQ21" i="2"/>
  <c r="KR20" i="2"/>
  <c r="KV20" i="2" s="1"/>
  <c r="AV40" i="2"/>
  <c r="AZ40" i="2" s="1"/>
  <c r="AV38" i="2"/>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AZ38" i="2"/>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W5"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U14" i="2" l="1"/>
  <c r="AA27" i="2"/>
  <c r="ZZ21" i="2"/>
  <c r="AAB20" i="2"/>
  <c r="AA28" i="2"/>
  <c r="ZE7" i="2"/>
  <c r="ZG6" i="2" s="1"/>
  <c r="AU26" i="2"/>
  <c r="AU12" i="2"/>
  <c r="AA25" i="2"/>
  <c r="T67" i="2" s="1"/>
  <c r="U67" i="2" s="1"/>
  <c r="AU28" i="2"/>
  <c r="FL74" i="2"/>
  <c r="FM74" i="2" s="1"/>
  <c r="FV74" i="2" s="1"/>
  <c r="JX25" i="2"/>
  <c r="KB25" i="2" s="1"/>
  <c r="AID18" i="2"/>
  <c r="AJU20" i="2" s="1"/>
  <c r="LK39" i="2"/>
  <c r="ZE14" i="2"/>
  <c r="ZW14" i="2" s="1"/>
  <c r="LK40" i="2"/>
  <c r="AB28" i="2"/>
  <c r="AF28" i="2" s="1"/>
  <c r="AIB31" i="2"/>
  <c r="AIG31" i="2" s="1"/>
  <c r="AE39" i="2"/>
  <c r="Z4" i="2"/>
  <c r="Y6" i="2"/>
  <c r="AA6" i="2" s="1"/>
  <c r="AC39" i="2"/>
  <c r="V40" i="2"/>
  <c r="V38" i="2"/>
  <c r="AB38" i="2" s="1"/>
  <c r="AF38" i="2" s="1"/>
  <c r="Y40" i="2"/>
  <c r="AA40" i="2" s="1"/>
  <c r="Z40" i="2"/>
  <c r="Y38" i="2"/>
  <c r="V37" i="2"/>
  <c r="W40" i="2"/>
  <c r="AC7" i="2"/>
  <c r="V5" i="2"/>
  <c r="X40" i="2"/>
  <c r="X37" i="2"/>
  <c r="Y37" i="2"/>
  <c r="AA37" i="2" s="1"/>
  <c r="V39" i="2"/>
  <c r="X38" i="2"/>
  <c r="Z39" i="2"/>
  <c r="AA39" i="2" s="1"/>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Z39" i="2"/>
  <c r="BA40" i="2" s="1"/>
  <c r="AN79" i="2"/>
  <c r="AO79" i="2" s="1"/>
  <c r="AZ33" i="2"/>
  <c r="AF11" i="2"/>
  <c r="AK14" i="2" s="1"/>
  <c r="T52" i="2"/>
  <c r="U52" i="2" s="1"/>
  <c r="T51" i="2"/>
  <c r="U51" i="2" s="1"/>
  <c r="T54" i="2"/>
  <c r="U54" i="2" s="1"/>
  <c r="T53" i="2"/>
  <c r="U53" i="2" s="1"/>
  <c r="AF25" i="2"/>
  <c r="T68" i="2"/>
  <c r="U68"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4" i="2"/>
  <c r="AA31" i="2"/>
  <c r="AB39" i="2"/>
  <c r="AF39" i="2" s="1"/>
  <c r="AB34" i="2"/>
  <c r="AF34" i="2" s="1"/>
  <c r="AB40" i="2"/>
  <c r="AF40" i="2" s="1"/>
  <c r="AB33" i="2"/>
  <c r="AF33" i="2" s="1"/>
  <c r="AV34" i="2"/>
  <c r="AB32" i="2"/>
  <c r="AF32" i="2" s="1"/>
  <c r="AB31" i="2"/>
  <c r="BP28" i="2"/>
  <c r="BT28" i="2" s="1"/>
  <c r="AU20" i="2"/>
  <c r="AU21" i="2"/>
  <c r="AU19" i="2"/>
  <c r="AA7" i="2"/>
  <c r="AA32" i="2"/>
  <c r="AB5" i="2"/>
  <c r="AF5" i="2" s="1"/>
  <c r="AB4" i="2"/>
  <c r="AA34" i="2"/>
  <c r="CU21" i="2"/>
  <c r="CV21" i="2"/>
  <c r="AK27" i="2" l="1"/>
  <c r="ZG13" i="2"/>
  <c r="ZH14" i="2"/>
  <c r="ZJ12" i="2"/>
  <c r="ZG14" i="2"/>
  <c r="ZO14" i="2"/>
  <c r="ZH12" i="2"/>
  <c r="T65" i="2"/>
  <c r="U65" i="2" s="1"/>
  <c r="T66" i="2"/>
  <c r="U66" i="2" s="1"/>
  <c r="FU74" i="2"/>
  <c r="FW74" i="2"/>
  <c r="ZJ13" i="2"/>
  <c r="ZI13" i="2"/>
  <c r="ZI14" i="2"/>
  <c r="ZJ14" i="2"/>
  <c r="ZF13" i="2"/>
  <c r="ZG12" i="2"/>
  <c r="ZF12" i="2"/>
  <c r="ZH13" i="2"/>
  <c r="ZI12" i="2"/>
  <c r="ZM14" i="2"/>
  <c r="AB37" i="2"/>
  <c r="AF37" i="2" s="1"/>
  <c r="AS80" i="2"/>
  <c r="AY78" i="2"/>
  <c r="AA38" i="2"/>
  <c r="FN74" i="2"/>
  <c r="FP74" i="2"/>
  <c r="FO74" i="2"/>
  <c r="VH21" i="2"/>
  <c r="VL21" i="2" s="1"/>
  <c r="VM21" i="2" s="1"/>
  <c r="PW47" i="2"/>
  <c r="UN34" i="2"/>
  <c r="UR34" i="2" s="1"/>
  <c r="AAF7" i="2"/>
  <c r="AAJ7" i="2" s="1"/>
  <c r="AAE6" i="2"/>
  <c r="AY53" i="2"/>
  <c r="PZ47" i="2"/>
  <c r="PQ47" i="2"/>
  <c r="PX47" i="2"/>
  <c r="PR47" i="2"/>
  <c r="PU47" i="2"/>
  <c r="QA47" i="2" s="1"/>
  <c r="PV47" i="2"/>
  <c r="PY47" i="2"/>
  <c r="VG20" i="2"/>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UN12" i="2"/>
  <c r="UR12" i="2" s="1"/>
  <c r="UN13" i="2"/>
  <c r="UR13" i="2" s="1"/>
  <c r="QU20"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AEY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E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ZK14" i="2" l="1"/>
  <c r="AFC27" i="2"/>
  <c r="AKC7" i="2"/>
  <c r="AH38" i="2"/>
  <c r="ZK13" i="2"/>
  <c r="VM20" i="2"/>
  <c r="AN43" i="2"/>
  <c r="AU80" i="2"/>
  <c r="T78" i="2"/>
  <c r="U78" i="2" s="1"/>
  <c r="T77" i="2"/>
  <c r="U77" i="2" s="1"/>
  <c r="T57" i="2"/>
  <c r="T50" i="2"/>
  <c r="FT72" i="2"/>
  <c r="FX72" i="2" s="1"/>
  <c r="FY74" i="2" s="1"/>
  <c r="FT73" i="2"/>
  <c r="FX73" i="2" s="1"/>
  <c r="VN21" i="2"/>
  <c r="VP20" i="2"/>
  <c r="VR21" i="2"/>
  <c r="VO21" i="2"/>
  <c r="VP21" i="2"/>
  <c r="VN20" i="2"/>
  <c r="KR61" i="2"/>
  <c r="KV61" i="2" s="1"/>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FD33" i="2" s="1"/>
  <c r="AFH33" i="2" s="1"/>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N57" i="2" s="1"/>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9" i="2"/>
  <c r="AFH39" i="2" s="1"/>
  <c r="ARY25" i="2"/>
  <c r="ARY26" i="2" s="1"/>
  <c r="ARZ31" i="2"/>
  <c r="ATQ33" i="2" s="1"/>
  <c r="ZD66" i="2"/>
  <c r="ZE66" i="2" s="1"/>
  <c r="ZO66"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BE78"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BE80" i="2"/>
  <c r="BF80" i="2"/>
  <c r="BB80" i="2"/>
  <c r="BF79" i="2"/>
  <c r="BD80" i="2"/>
  <c r="BF78" i="2"/>
  <c r="BC78" i="2"/>
  <c r="BA78" i="2"/>
  <c r="BA79" i="2"/>
  <c r="BD78" i="2"/>
  <c r="BC80" i="2"/>
  <c r="BA80" i="2"/>
  <c r="BC79" i="2"/>
  <c r="BD79" i="2"/>
  <c r="BB79" i="2"/>
  <c r="BB78" i="2"/>
  <c r="AA53" i="2"/>
  <c r="AQ72" i="2"/>
  <c r="AR72" i="2"/>
  <c r="AT72" i="2"/>
  <c r="AP72" i="2"/>
  <c r="AX72" i="2"/>
  <c r="AS72" i="2"/>
  <c r="AY72" i="2"/>
  <c r="AW72" i="2"/>
  <c r="AT73"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GD66" i="2"/>
  <c r="GC66" i="2"/>
  <c r="GB67" i="2"/>
  <c r="GB66" i="2"/>
  <c r="GA67" i="2"/>
  <c r="GA66" i="2"/>
  <c r="GD67" i="2"/>
  <c r="FZ66" i="2"/>
  <c r="GC67" i="2"/>
  <c r="EZ60" i="2"/>
  <c r="FD60" i="2" s="1"/>
  <c r="EZ61" i="2"/>
  <c r="FD6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FY72" i="2" l="1"/>
  <c r="FY73" i="2"/>
  <c r="AKB34" i="2"/>
  <c r="AKF34" i="2" s="1"/>
  <c r="AKB7" i="2"/>
  <c r="AKF7" i="2" s="1"/>
  <c r="AEJ39" i="2"/>
  <c r="AKB33" i="2"/>
  <c r="AKF33" i="2" s="1"/>
  <c r="VS21" i="2"/>
  <c r="EZ51" i="2"/>
  <c r="FD51" i="2" s="1"/>
  <c r="T70" i="2"/>
  <c r="AFD34" i="2"/>
  <c r="AFH34" i="2" s="1"/>
  <c r="T76" i="2"/>
  <c r="BE79" i="2"/>
  <c r="AJC14" i="2"/>
  <c r="AJK14" i="2"/>
  <c r="AN70" i="2"/>
  <c r="T43" i="2"/>
  <c r="FZ74" i="2"/>
  <c r="GD74" i="2"/>
  <c r="UO79" i="2"/>
  <c r="UQ79" i="2"/>
  <c r="GC74" i="2"/>
  <c r="GC73" i="2"/>
  <c r="GC72" i="2"/>
  <c r="GB74" i="2"/>
  <c r="GA74" i="2"/>
  <c r="GD73" i="2"/>
  <c r="FZ72" i="2"/>
  <c r="GA73" i="2"/>
  <c r="GB72" i="2"/>
  <c r="FZ73" i="2"/>
  <c r="GA72" i="2"/>
  <c r="GB73" i="2"/>
  <c r="GD72" i="2"/>
  <c r="AEJ5" i="2"/>
  <c r="AEN5" i="2" s="1"/>
  <c r="VS20" i="2"/>
  <c r="KW59" i="2"/>
  <c r="LA61" i="2"/>
  <c r="AKB21" i="2"/>
  <c r="AKF21" i="2" s="1"/>
  <c r="AKB20" i="2"/>
  <c r="AKF20" i="2" s="1"/>
  <c r="AKG20" i="2" s="1"/>
  <c r="UJ74" i="2"/>
  <c r="UH74" i="2"/>
  <c r="UN74" i="2" s="1"/>
  <c r="UR74" i="2" s="1"/>
  <c r="UP74" i="2"/>
  <c r="UQ74" i="2"/>
  <c r="UO74" i="2"/>
  <c r="GA45" i="2"/>
  <c r="GB46" i="2"/>
  <c r="AFC34" i="2"/>
  <c r="AFJ33" i="2" s="1"/>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AFI40" i="2"/>
  <c r="GA59" i="2"/>
  <c r="AFD13" i="2"/>
  <c r="AFH13" i="2" s="1"/>
  <c r="AFD14" i="2"/>
  <c r="AFH14" i="2" s="1"/>
  <c r="JV53"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FZ67" i="2"/>
  <c r="GE67" i="2" s="1"/>
  <c r="GE27" i="2" s="1"/>
  <c r="AOZ33" i="2"/>
  <c r="APD33" i="2" s="1"/>
  <c r="AFK40" i="2"/>
  <c r="AFJ40" i="2"/>
  <c r="AFM40" i="2"/>
  <c r="AFL40" i="2"/>
  <c r="AFI33" i="2"/>
  <c r="AFL39" i="2"/>
  <c r="AFI34" i="2"/>
  <c r="AFM39" i="2"/>
  <c r="AFN39" i="2"/>
  <c r="AFJ39" i="2"/>
  <c r="AFN34" i="2"/>
  <c r="UN66" i="2"/>
  <c r="UR66" i="2" s="1"/>
  <c r="AFN40" i="2"/>
  <c r="AFK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FE47" i="2"/>
  <c r="FE67" i="2"/>
  <c r="FE44" i="2"/>
  <c r="FE65" i="2"/>
  <c r="FE58" i="2"/>
  <c r="FE61" i="2"/>
  <c r="FE45" i="2"/>
  <c r="FE59"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FL34" i="2" l="1"/>
  <c r="AFK33" i="2"/>
  <c r="AFL33" i="2"/>
  <c r="AFM34" i="2"/>
  <c r="AFM33" i="2"/>
  <c r="AFJ34" i="2"/>
  <c r="AFN33" i="2"/>
  <c r="VT20" i="2"/>
  <c r="AKI33" i="2"/>
  <c r="AKJ34" i="2"/>
  <c r="AKK33" i="2"/>
  <c r="AKL33" i="2"/>
  <c r="AKL34" i="2"/>
  <c r="AKJ33" i="2"/>
  <c r="AKI34" i="2"/>
  <c r="AKH33" i="2"/>
  <c r="AFK34" i="2"/>
  <c r="AKK34" i="2"/>
  <c r="AKH34" i="2"/>
  <c r="GE74" i="2"/>
  <c r="GE34" i="2" s="1"/>
  <c r="FE51" i="2"/>
  <c r="GE72" i="2"/>
  <c r="GE32" i="2" s="1"/>
  <c r="AEB79" i="2"/>
  <c r="AEC79" i="2" s="1"/>
  <c r="AEK79" i="2" s="1"/>
  <c r="AAQ39" i="2"/>
  <c r="PU59" i="2"/>
  <c r="FF52" i="2"/>
  <c r="AKL7" i="2"/>
  <c r="AKK6" i="2"/>
  <c r="AKI6" i="2"/>
  <c r="AKL6" i="2"/>
  <c r="AOZ21" i="2"/>
  <c r="APD21" i="2" s="1"/>
  <c r="AKG6" i="2"/>
  <c r="AKH7"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0" i="2"/>
  <c r="APJ21" i="2"/>
  <c r="APG20"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YY38" i="2"/>
  <c r="US66" i="2"/>
  <c r="PX67" i="2"/>
  <c r="PW66" i="2"/>
  <c r="AKM39" i="2"/>
  <c r="AKN40" i="2" s="1"/>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AKM33" i="2" l="1"/>
  <c r="AEM79" i="2"/>
  <c r="AEL79" i="2"/>
  <c r="AKM34" i="2"/>
  <c r="AKM6" i="2"/>
  <c r="AAR39" i="2"/>
  <c r="FK52" i="2"/>
  <c r="FK12" i="2" s="1"/>
  <c r="APF20" i="2"/>
  <c r="APF21" i="2"/>
  <c r="APG21" i="2"/>
  <c r="API20" i="2"/>
  <c r="GF6" i="2"/>
  <c r="AKM7" i="2"/>
  <c r="AIZ53" i="2"/>
  <c r="AJA53" i="2" s="1"/>
  <c r="AJI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HU6" i="2" s="1"/>
  <c r="FL7" i="2"/>
  <c r="HU7" i="2" s="1"/>
  <c r="FL4" i="2"/>
  <c r="HU4" i="2" s="1"/>
  <c r="FL5" i="2"/>
  <c r="HU5" i="2" s="1"/>
  <c r="AJK53" i="2" l="1"/>
  <c r="AJJ53" i="2"/>
  <c r="CW26" i="2"/>
  <c r="AJB53" i="2"/>
  <c r="AJC53" i="2"/>
  <c r="AJF53" i="2"/>
  <c r="AJE53" i="2"/>
  <c r="AJF54" i="2"/>
  <c r="AJD52" i="2"/>
  <c r="AJC52" i="2"/>
  <c r="AJK52" i="2"/>
  <c r="AJD53" i="2"/>
  <c r="AEJ45" i="2"/>
  <c r="AEN45" i="2" s="1"/>
  <c r="AJF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19"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ZC21" i="2"/>
  <c r="LD40" i="2"/>
  <c r="AUD20" i="2"/>
  <c r="AUG21" i="2"/>
  <c r="AUF20" i="2"/>
  <c r="AUD21" i="2"/>
  <c r="AUH20" i="2"/>
  <c r="AUF21" i="2"/>
  <c r="AUH21" i="2"/>
  <c r="AUG20" i="2"/>
  <c r="AEJ46" i="2"/>
  <c r="AEN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25" i="2"/>
  <c r="DY28" i="2"/>
  <c r="DY27" i="2"/>
  <c r="DY26" i="2"/>
  <c r="AEO46" i="2" l="1"/>
  <c r="AJG54" i="2"/>
  <c r="AJG52" i="2"/>
  <c r="ANQ26" i="2"/>
  <c r="ANQ25" i="2"/>
  <c r="ANS25" i="2"/>
  <c r="ANR26" i="2"/>
  <c r="ANV28" i="2"/>
  <c r="ANQ28" i="2"/>
  <c r="QB19" i="2"/>
  <c r="ANQ27"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P15" i="1" l="1"/>
  <c r="IU26" i="2"/>
  <c r="Q55" i="28"/>
  <c r="R66" i="28" s="1"/>
  <c r="AOF52" i="2"/>
  <c r="AOJ52" i="2" s="1"/>
  <c r="AOF53" i="2"/>
  <c r="AOJ53" i="2" s="1"/>
  <c r="AUJ20" i="2"/>
  <c r="AJH74" i="2"/>
  <c r="AJL74" i="2" s="1"/>
  <c r="ANO68" i="2"/>
  <c r="WO39" i="2"/>
  <c r="ANM67" i="2"/>
  <c r="ANO67" i="2"/>
  <c r="WO38" i="2"/>
  <c r="SS39"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ND7" i="2" s="1"/>
  <c r="NL7" i="2" s="1"/>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O69"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Y55" i="28"/>
  <c r="Y67" i="28" s="1"/>
  <c r="R71" i="28"/>
  <c r="Q53" i="28"/>
  <c r="R61" i="28" s="1"/>
  <c r="R69" i="28" s="1"/>
  <c r="Y53" i="28"/>
  <c r="Y64" i="28" s="1"/>
  <c r="AA53" i="28"/>
  <c r="AB61" i="28" s="1"/>
  <c r="AA54" i="28"/>
  <c r="Y66" i="28" s="1"/>
  <c r="Y54" i="28"/>
  <c r="Y68" i="28" s="1"/>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AB23" i="1" s="1"/>
  <c r="W23" i="1"/>
  <c r="X23" i="1"/>
  <c r="U23" i="1"/>
  <c r="W22" i="1"/>
  <c r="V22" i="1"/>
  <c r="X22" i="1"/>
  <c r="Z22" i="1"/>
  <c r="U22" i="1"/>
  <c r="Z25" i="1"/>
  <c r="X25" i="1"/>
  <c r="W25" i="1"/>
  <c r="V25" i="1"/>
  <c r="U25" i="1"/>
  <c r="Z15" i="1"/>
  <c r="V15" i="1"/>
  <c r="W15" i="1"/>
  <c r="X15" i="1"/>
  <c r="AA15" i="1" s="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S30" i="2"/>
  <c r="N62" i="28"/>
  <c r="N58" i="28"/>
  <c r="N61" i="28"/>
  <c r="DW33" i="2"/>
  <c r="DW32" i="2"/>
  <c r="DW23" i="2"/>
  <c r="DW22" i="2"/>
  <c r="IG6" i="2"/>
  <c r="II6" i="2"/>
  <c r="IH6" i="2"/>
  <c r="IK6" i="2"/>
  <c r="IJ6" i="2"/>
  <c r="IG3" i="2"/>
  <c r="IH3" i="2"/>
  <c r="IK3" i="2"/>
  <c r="IJ3" i="2"/>
  <c r="II3" i="2"/>
  <c r="AB15" i="1"/>
  <c r="AA24" i="1"/>
  <c r="DN6" i="2" s="1"/>
  <c r="T15" i="1" l="1"/>
  <c r="T22" i="1"/>
  <c r="AA23" i="1"/>
  <c r="T23" i="1"/>
  <c r="AB24" i="1"/>
  <c r="DO6" i="2" s="1"/>
  <c r="AB22" i="1"/>
  <c r="AA25" i="1"/>
  <c r="W13" i="1"/>
  <c r="V13" i="1"/>
  <c r="Z13" i="1"/>
  <c r="T25" i="1"/>
  <c r="W14" i="1"/>
  <c r="DK4" i="2" s="1"/>
  <c r="AB25" i="1"/>
  <c r="T24" i="1"/>
  <c r="X13" i="1"/>
  <c r="DW30" i="2"/>
  <c r="NS32" i="2"/>
  <c r="AA22" i="1"/>
  <c r="U13" i="1"/>
  <c r="IG7" i="2"/>
  <c r="AI55" i="28"/>
  <c r="AI67" i="28" s="1"/>
  <c r="SS38" i="2"/>
  <c r="WZ8" i="2" s="1"/>
  <c r="SS40" i="2"/>
  <c r="AON53" i="2"/>
  <c r="AOP52" i="2"/>
  <c r="AOO53" i="2"/>
  <c r="AOL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5" i="2" s="1"/>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YD47" i="2"/>
  <c r="W9" i="1"/>
  <c r="DK3" i="2" s="1"/>
  <c r="V9" i="1"/>
  <c r="DJ3" i="2" s="1"/>
  <c r="U9" i="1"/>
  <c r="X9" i="1"/>
  <c r="Z9" i="1"/>
  <c r="Z35" i="1"/>
  <c r="W35" i="1"/>
  <c r="X35" i="1"/>
  <c r="V35" i="1"/>
  <c r="U35" i="1"/>
  <c r="Z10" i="1"/>
  <c r="X10" i="1"/>
  <c r="U10" i="1"/>
  <c r="V10" i="1"/>
  <c r="W10" i="1"/>
  <c r="W34" i="1"/>
  <c r="V34" i="1"/>
  <c r="DJ8" i="2" s="1"/>
  <c r="X34" i="1"/>
  <c r="U34" i="1"/>
  <c r="Z34" i="1"/>
  <c r="W7" i="1"/>
  <c r="V7" i="1"/>
  <c r="U7" i="1"/>
  <c r="X7" i="1"/>
  <c r="Z7" i="1"/>
  <c r="Z33" i="1"/>
  <c r="W33" i="1"/>
  <c r="U33" i="1"/>
  <c r="V33" i="1"/>
  <c r="X33" i="1"/>
  <c r="Z8" i="1"/>
  <c r="U8" i="1"/>
  <c r="X8" i="1"/>
  <c r="AA8" i="1" s="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M8" i="2"/>
  <c r="DK8" i="2"/>
  <c r="D51" i="28"/>
  <c r="G56" i="28"/>
  <c r="DM3" i="2"/>
  <c r="DH3" i="2"/>
  <c r="DP3" i="2" s="1"/>
  <c r="D56" i="28"/>
  <c r="IL3" i="2"/>
  <c r="IM3" i="2"/>
  <c r="IL6" i="2"/>
  <c r="IM6" i="2"/>
  <c r="AA13" i="1" l="1"/>
  <c r="AU56" i="28"/>
  <c r="AV68" i="28" s="1"/>
  <c r="XO33" i="2"/>
  <c r="AH62" i="28"/>
  <c r="G51" i="1"/>
  <c r="G49" i="1"/>
  <c r="W29" i="1"/>
  <c r="DK7" i="2" s="1"/>
  <c r="V27" i="1"/>
  <c r="U30" i="1"/>
  <c r="V30" i="1"/>
  <c r="IM7" i="2"/>
  <c r="IL7" i="2"/>
  <c r="T13" i="1"/>
  <c r="AB13" i="1"/>
  <c r="Z30" i="1"/>
  <c r="AEV6" i="2"/>
  <c r="AEV39" i="2"/>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ND3" i="2"/>
  <c r="NL3" i="2" s="1"/>
  <c r="NS22" i="2"/>
  <c r="SB5" i="2"/>
  <c r="SJ5" i="2" s="1"/>
  <c r="AOQ12" i="2"/>
  <c r="AOR12" i="2" s="1"/>
  <c r="SQ26" i="2"/>
  <c r="AOR28" i="2"/>
  <c r="AOQ26" i="2"/>
  <c r="AGK28" i="2"/>
  <c r="AI53" i="28"/>
  <c r="AI64" i="28" s="1"/>
  <c r="AI72" i="28" s="1"/>
  <c r="AK53" i="28"/>
  <c r="AL61"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AB72" i="28"/>
  <c r="AB74" i="28" s="1"/>
  <c r="AL71" i="28"/>
  <c r="AS55" i="28"/>
  <c r="AS67" i="28" s="1"/>
  <c r="AU55" i="28"/>
  <c r="AV66" i="28" s="1"/>
  <c r="SE6" i="2"/>
  <c r="SJ6" i="2"/>
  <c r="BE54" i="28"/>
  <c r="BC66" i="28" s="1"/>
  <c r="BC54" i="28"/>
  <c r="NG4" i="2"/>
  <c r="NL4" i="2"/>
  <c r="AL70" i="28"/>
  <c r="AS54" i="28"/>
  <c r="AU54" i="28"/>
  <c r="AS66" i="28" s="1"/>
  <c r="AEA4" i="2"/>
  <c r="AEB4" i="2" s="1"/>
  <c r="AGK4" i="2" s="1"/>
  <c r="AS52" i="28"/>
  <c r="AU52" i="28"/>
  <c r="AV6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AA30" i="1" l="1"/>
  <c r="AA27" i="1"/>
  <c r="AB27" i="1"/>
  <c r="AB28" i="1"/>
  <c r="T28" i="1"/>
  <c r="T27" i="1"/>
  <c r="XQ19" i="2"/>
  <c r="AGK39" i="2"/>
  <c r="ACO39" i="2" s="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JT34" i="2"/>
  <c r="ALI34" i="2" s="1"/>
  <c r="BCZ46" i="2"/>
  <c r="BDD46" i="2" s="1"/>
  <c r="ATO45" i="2"/>
  <c r="BCZ45" i="2"/>
  <c r="BDD45" i="2" s="1"/>
  <c r="AYM53" i="2"/>
  <c r="BCZ67" i="2"/>
  <c r="BDD67" i="2" s="1"/>
  <c r="ATO68" i="2"/>
  <c r="AJT28" i="2"/>
  <c r="ALI28" i="2" s="1"/>
  <c r="AJT27" i="2"/>
  <c r="ALI27" i="2" s="1"/>
  <c r="BCI66" i="2"/>
  <c r="ACO25" i="2"/>
  <c r="BCE73"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C57" i="28"/>
  <c r="J49" i="1"/>
  <c r="BD8" i="26" s="1"/>
  <c r="DQ8" i="2"/>
  <c r="ACO40" i="2"/>
  <c r="BC53" i="28"/>
  <c r="BB60" i="28" s="1"/>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AV8" i="34" l="1"/>
  <c r="DS6" i="2"/>
  <c r="DT3" i="2"/>
  <c r="DT7" i="2"/>
  <c r="DT8" i="2"/>
  <c r="DR7" i="2"/>
  <c r="DS8" i="2"/>
  <c r="DS7" i="2"/>
  <c r="DR6" i="2"/>
  <c r="DT6" i="2"/>
  <c r="DS4" i="2"/>
  <c r="DT4" i="2"/>
  <c r="DR5" i="2"/>
  <c r="DR4" i="2"/>
  <c r="DR3" i="2"/>
  <c r="DT5" i="2"/>
  <c r="DS3" i="2"/>
  <c r="DR8" i="2"/>
  <c r="DS5" i="2"/>
  <c r="AQ8" i="34"/>
  <c r="W61" i="28"/>
  <c r="BC64" i="28"/>
  <c r="BC72" i="28" s="1"/>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AV75" i="28"/>
  <c r="AT79" i="28" s="1"/>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BG8" i="26"/>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BF69" i="28" l="1"/>
  <c r="DU6" i="2"/>
  <c r="DU4" i="2"/>
  <c r="DU5"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C44" i="1"/>
  <c r="AC41" i="1"/>
  <c r="DS12" i="2" s="1"/>
  <c r="P41"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3" i="2"/>
  <c r="DW15" i="2"/>
  <c r="P39" i="1" l="1"/>
  <c r="X39" i="1" s="1"/>
  <c r="P43" i="1"/>
  <c r="V43" i="1" s="1"/>
  <c r="DW14" i="2"/>
  <c r="AC39" i="1"/>
  <c r="DQ12" i="2" s="1"/>
  <c r="AC43" i="1"/>
  <c r="P40" i="1"/>
  <c r="W40" i="1" s="1"/>
  <c r="P42" i="1"/>
  <c r="Z42" i="1" s="1"/>
  <c r="P44" i="1"/>
  <c r="T44" i="1" s="1"/>
  <c r="AC40" i="1"/>
  <c r="DR12" i="2" s="1"/>
  <c r="AC42" i="1"/>
  <c r="DT12" i="2" s="1"/>
  <c r="DT13" i="2" s="1"/>
  <c r="DW16" i="2"/>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DA53" i="28"/>
  <c r="DC53" i="28"/>
  <c r="DD61" i="28" s="1"/>
  <c r="CS54" i="28"/>
  <c r="CQ66" i="28" s="1"/>
  <c r="CQ54" i="28"/>
  <c r="CS53" i="28"/>
  <c r="CT61" i="28" s="1"/>
  <c r="CQ53" i="28"/>
  <c r="V73" i="28"/>
  <c r="W73" i="28"/>
  <c r="AQ73" i="28"/>
  <c r="AP73" i="28"/>
  <c r="BC8" i="34"/>
  <c r="BK8" i="26"/>
  <c r="CG69" i="28"/>
  <c r="BZ71" i="28"/>
  <c r="BH12" i="26"/>
  <c r="AO70" i="28"/>
  <c r="CT72" i="28"/>
  <c r="CQ55" i="28"/>
  <c r="CS55" i="28"/>
  <c r="CT66" i="28" s="1"/>
  <c r="CO62" i="28"/>
  <c r="CJ72" i="28"/>
  <c r="CN62" i="28"/>
  <c r="CG64" i="28"/>
  <c r="AQU5" i="2"/>
  <c r="AQZ5" i="2"/>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AA41" i="1"/>
  <c r="V41" i="1"/>
  <c r="Z41" i="1"/>
  <c r="U41" i="1"/>
  <c r="X41" i="1"/>
  <c r="T41" i="1"/>
  <c r="AB41" i="1"/>
  <c r="W41" i="1"/>
  <c r="AA43" i="1"/>
  <c r="X40" i="1"/>
  <c r="T40" i="1"/>
  <c r="AB40" i="1"/>
  <c r="V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2" i="28"/>
  <c r="W52" i="28" s="1"/>
  <c r="I51" i="28"/>
  <c r="W51" i="28" s="1"/>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AA42" i="1" l="1"/>
  <c r="I56" i="28"/>
  <c r="W56" i="28" s="1"/>
  <c r="W42" i="1"/>
  <c r="AB42" i="1"/>
  <c r="I55" i="28"/>
  <c r="W55" i="28" s="1"/>
  <c r="T42" i="1"/>
  <c r="DT25" i="2"/>
  <c r="DU25" i="2" s="1"/>
  <c r="DT15" i="2"/>
  <c r="DT17" i="2"/>
  <c r="DT21" i="2"/>
  <c r="DT20" i="2"/>
  <c r="DT16" i="2"/>
  <c r="DT24" i="2"/>
  <c r="DT19" i="2"/>
  <c r="DU19" i="2" s="1"/>
  <c r="DT14" i="2"/>
  <c r="DU14" i="2" s="1"/>
  <c r="DT23" i="2"/>
  <c r="DU23" i="2" s="1"/>
  <c r="DT18" i="2"/>
  <c r="DU18" i="2" s="1"/>
  <c r="DT22" i="2"/>
  <c r="DT26" i="2"/>
  <c r="DT27" i="2"/>
  <c r="X44" i="1"/>
  <c r="U40" i="1"/>
  <c r="I53" i="28"/>
  <c r="W53" i="28" s="1"/>
  <c r="Z40" i="1"/>
  <c r="V40" i="1"/>
  <c r="AA40" i="1"/>
  <c r="U44" i="1"/>
  <c r="I54" i="28"/>
  <c r="W54" i="28" s="1"/>
  <c r="X42" i="1"/>
  <c r="Z44" i="1"/>
  <c r="U42" i="1"/>
  <c r="W43" i="1"/>
  <c r="T39" i="1"/>
  <c r="W39" i="1"/>
  <c r="AB39" i="1"/>
  <c r="AB43" i="1"/>
  <c r="T43" i="1"/>
  <c r="V44" i="1"/>
  <c r="X43" i="1"/>
  <c r="AA44" i="1"/>
  <c r="U43" i="1"/>
  <c r="W44" i="1"/>
  <c r="Z43" i="1"/>
  <c r="AB44" i="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1" i="2"/>
  <c r="DU24" i="2"/>
  <c r="DU27" i="2"/>
  <c r="DU26" i="2"/>
  <c r="DU13" i="2"/>
  <c r="DU22" i="2"/>
  <c r="DU16" i="2"/>
  <c r="DU17" i="2"/>
  <c r="BAP7" i="2" l="1"/>
  <c r="BAV7" i="2"/>
  <c r="BAQ7" i="2"/>
  <c r="BAR7" i="2"/>
  <c r="BAT7" i="2" s="1"/>
  <c r="BAO7" i="2"/>
  <c r="IU20" i="2"/>
  <c r="R67" i="28" s="1"/>
  <c r="O71" i="28" s="1"/>
  <c r="IU18" i="2"/>
  <c r="R63" i="28" s="1"/>
  <c r="IU19" i="2"/>
  <c r="R64" i="28" s="1"/>
  <c r="O72" i="28" s="1"/>
  <c r="R74" i="28" s="1"/>
  <c r="P81" i="28" s="1"/>
  <c r="IU21" i="2"/>
  <c r="R65" i="28" s="1"/>
  <c r="O70"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W70" i="28" l="1"/>
  <c r="V70" i="28"/>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H10" i="26" l="1"/>
  <c r="U70" i="28"/>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Y70" i="28" s="1"/>
  <c r="AB73" i="28" s="1"/>
  <c r="NT21" i="2"/>
  <c r="AB64" i="28"/>
  <c r="NT19" i="2"/>
  <c r="AB63" i="28"/>
  <c r="Y69" i="28" s="1"/>
  <c r="NT18" i="2"/>
  <c r="AB67" i="28"/>
  <c r="NT20" i="2"/>
  <c r="DB79" i="28"/>
  <c r="BA72" i="28"/>
  <c r="AV74" i="28"/>
  <c r="AT81" i="28" s="1"/>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I71" i="28" l="1"/>
  <c r="AI74" i="28" s="1"/>
  <c r="AL75" i="28" s="1"/>
  <c r="Z80" i="28"/>
  <c r="AF73" i="28"/>
  <c r="AG73" i="28"/>
  <c r="AF70" i="28"/>
  <c r="AG70" i="28"/>
  <c r="AF69" i="28"/>
  <c r="AG69" i="28"/>
  <c r="ACM20" i="2"/>
  <c r="BF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AQ71" i="28"/>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D79" i="28" l="1"/>
  <c r="BD78" i="28"/>
  <c r="BJ70" i="28"/>
  <c r="BI70" i="28" s="1"/>
  <c r="BF73" i="28"/>
  <c r="BD80" i="28" s="1"/>
  <c r="BK67" i="28"/>
  <c r="BC71" i="28"/>
  <c r="AQ74" i="28"/>
  <c r="AP71" i="28"/>
  <c r="AO71" i="28" s="1"/>
  <c r="BK11" i="26"/>
  <c r="AE73" i="28"/>
  <c r="AE70" i="28"/>
  <c r="BH11" i="26"/>
  <c r="BG11" i="26"/>
  <c r="AE69" i="28"/>
  <c r="BJ69" i="28"/>
  <c r="BI69" i="28" s="1"/>
  <c r="BJ67" i="28"/>
  <c r="BE14" i="26" s="1"/>
  <c r="ACN20" i="2"/>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BP74" i="28" s="1"/>
  <c r="BP75"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N79" i="28" l="1"/>
  <c r="BN81" i="28"/>
  <c r="BT74" i="28"/>
  <c r="BU74" i="28"/>
  <c r="BH14" i="26"/>
  <c r="BJ73" i="28"/>
  <c r="BI73" i="28" s="1"/>
  <c r="BK73" i="28"/>
  <c r="BK71" i="28"/>
  <c r="BJ71" i="28"/>
  <c r="BI12" i="26"/>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K14" i="26" l="1"/>
  <c r="BL15" i="26"/>
  <c r="BS74" i="28"/>
  <c r="L12" i="26"/>
  <c r="E12" i="26" s="1"/>
  <c r="BI14" i="26"/>
  <c r="BI71" i="28"/>
  <c r="BB52" i="28" s="1"/>
  <c r="F14" i="34" s="1"/>
  <c r="D14" i="34" s="1"/>
  <c r="BM16" i="26"/>
  <c r="X53" i="28"/>
  <c r="M11" i="26" s="1"/>
  <c r="F11" i="26" s="1"/>
  <c r="AE7" i="28"/>
  <c r="BL11" i="26"/>
  <c r="L11" i="26" s="1"/>
  <c r="E11" i="26" s="1"/>
  <c r="AE74" i="28"/>
  <c r="X52" i="28" s="1"/>
  <c r="F11" i="34" s="1"/>
  <c r="D11"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<sst xmlns="http://schemas.openxmlformats.org/spreadsheetml/2006/main" count="4230" uniqueCount="378">
  <si>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</si>
  <si>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</si>
  <si>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</si>
  <si>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</si>
  <si>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</si>
  <si>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</si>
  <si>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</si>
  <si>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</si>
  <si>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</si>
  <si>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</si>
  <si>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</si>
  <si>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</si>
  <si>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</si>
  <si>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</si>
  <si>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</si>
  <si>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</si>
  <si>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</si>
  <si>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</si>
  <si>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</si>
  <si>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</si>
  <si>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</si>
  <si>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</si>
  <si>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</si>
  <si>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</si>
  <si>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</si>
  <si>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</si>
  <si>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</si>
  <si>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</si>
  <si>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</si>
  <si>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</si>
  <si>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</si>
  <si>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</si>
  <si>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</si>
  <si>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</si>
  <si>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</si>
  <si>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</si>
  <si>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</si>
  <si>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</si>
  <si>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</si>
  <si>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</si>
  <si>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</si>
  <si>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</si>
  <si>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</si>
  <si>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</si>
  <si>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</si>
  <si>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</si>
  <si>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</si>
  <si>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</si>
  <si>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</si>
  <si>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</si>
  <si>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</si>
  <si>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</si>
  <si>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</si>
  <si>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</si>
  <si>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</si>
  <si>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</si>
  <si>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</si>
  <si>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</si>
  <si>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</si>
  <si>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</si>
  <si>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</si>
  <si>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</si>
  <si>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</si>
  <si>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</si>
  <si>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</si>
  <si>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</si>
  <si>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</si>
  <si>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</si>
  <si>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</si>
  <si>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</si>
  <si>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</si>
  <si>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</si>
  <si>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</si>
  <si>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Magnus (TRAC)</t>
  </si>
  <si>
    <t xml:space="preserve">● </t>
  </si>
  <si>
    <t>Type participant name in Player Name column in column C. This name will be used as name references in all worksheets.</t>
  </si>
  <si>
    <t>Steve (TRAC)</t>
  </si>
  <si>
    <t>You DO NOT NEED TO TYPE PLAYER NAME IN OTHER WORKSHEET</t>
  </si>
  <si>
    <t>Mateo (Virksomhet)</t>
  </si>
  <si>
    <t>No column in column B is used as THE FINAL TIE-BREAKER if respective players are tied and their ranks have to be decided by ENTRY ORDER. See TIE BREAKER regulation</t>
  </si>
  <si>
    <t>Flemming (IFA)</t>
  </si>
  <si>
    <t>You may fill STARTING POINT with your own point. IT IS OPTIONAL</t>
  </si>
  <si>
    <t>Stian (Virksomhet)</t>
  </si>
  <si>
    <t>This point will be used as additional point and will be included in Player Score calculation</t>
  </si>
  <si>
    <t>Hanne Maren (TRAC)</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</si>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</sst>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7">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cellStyleXfs>
  <cellXfs count="413">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2" fillId="0" borderId="14" xfId="0" applyFont="1" applyBorder="1" applyProtection="1">
      <protection locked="0"/>
    </xf>
    <xf numFmtId="0" fontId="2" fillId="0" borderId="26" xfId="0" applyFont="1" applyBorder="1" applyProtection="1">
      <protection locked="0"/>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9" xfId="3" applyFont="1" applyBorder="1" applyAlignment="1" applyProtection="1">
      <alignment horizontal="center" vertical="center"/>
      <protection locked="0"/>
    </xf>
    <xf numFmtId="0" fontId="60" fillId="0" borderId="4"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1" fillId="0" borderId="14" xfId="0" applyFont="1" applyBorder="1" applyProtection="1">
      <protection locked="0"/>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3" fillId="9" borderId="19" xfId="3" applyFont="1" applyFill="1" applyBorder="1" applyAlignment="1" applyProtection="1">
      <alignment horizontal="center" vertical="center"/>
      <protection hidden="1"/>
    </xf>
    <xf numFmtId="0" fontId="15" fillId="8" borderId="0" xfId="3" applyFont="1" applyFill="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0" fillId="0" borderId="19" xfId="3" applyFont="1" applyBorder="1" applyAlignment="1" applyProtection="1">
      <alignment horizontal="center" vertical="center"/>
      <protection hidden="1"/>
    </xf>
    <xf numFmtId="0" fontId="15" fillId="8" borderId="19"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3" fillId="9" borderId="20" xfId="3" applyFont="1" applyFill="1" applyBorder="1" applyAlignment="1" applyProtection="1">
      <alignment horizontal="center" vertical="center"/>
      <protection hidden="1"/>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center" vertical="center"/>
      <protection hidden="1"/>
    </xf>
    <xf numFmtId="0" fontId="11" fillId="4" borderId="13" xfId="3" applyFont="1" applyFill="1" applyBorder="1" applyAlignment="1" applyProtection="1">
      <alignment horizontal="center" vertical="center"/>
      <protection locked="0"/>
    </xf>
    <xf numFmtId="3" fontId="15" fillId="4" borderId="13" xfId="3" applyNumberFormat="1" applyFont="1" applyFill="1" applyBorder="1" applyAlignment="1" applyProtection="1">
      <alignment horizontal="center" vertical="center" wrapText="1"/>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0" fontId="15" fillId="4" borderId="13" xfId="3" applyFont="1" applyFill="1" applyBorder="1" applyAlignment="1" applyProtection="1">
      <alignment horizontal="left" vertical="center"/>
      <protection locked="0"/>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7">
    <cellStyle name="Hyperkobling" xfId="1" builtinId="8"/>
    <cellStyle name="Komma" xfId="2" builtinId="3"/>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baseColWidth="10" defaultColWidth="8.77734375" defaultRowHeight="14.55" customHeight="1" x14ac:dyDescent="0.25"/>
  <cols>
    <col min="1" max="1" width="1.44140625" style="4" customWidth="1"/>
    <col min="2" max="3" width="3.44140625" style="4" customWidth="1"/>
    <col min="4" max="4" width="77.109375" style="4" customWidth="1"/>
    <col min="5" max="5" width="2.109375" style="4" customWidth="1"/>
    <col min="6" max="9" width="14.44140625" style="4" customWidth="1"/>
    <col min="10" max="10" width="1.44140625" style="4" customWidth="1"/>
    <col min="11" max="11" width="3.44140625" style="4" customWidth="1"/>
    <col min="12" max="12" width="87.44140625" style="4" customWidth="1"/>
    <col min="13" max="16384" width="8.77734375" style="4"/>
  </cols>
  <sheetData>
    <row r="1" spans="1:12" s="13" customFormat="1" ht="7.2" customHeight="1" x14ac:dyDescent="0.25"/>
    <row r="2" spans="1:12" ht="7.2" customHeight="1" x14ac:dyDescent="0.25"/>
    <row r="3" spans="1:12" ht="30" customHeight="1" x14ac:dyDescent="0.25">
      <c r="B3" s="18" t="s">
        <v>0</v>
      </c>
      <c r="C3" s="18"/>
      <c r="D3" s="14"/>
      <c r="E3" s="14"/>
      <c r="F3" s="275"/>
      <c r="G3" s="15"/>
      <c r="H3" s="15"/>
      <c r="I3" s="15"/>
    </row>
    <row r="4" spans="1:12" ht="4.95" customHeight="1" x14ac:dyDescent="0.25"/>
    <row r="5" spans="1:12" s="173" customFormat="1" ht="19.95" customHeight="1" thickBot="1" x14ac:dyDescent="0.3">
      <c r="B5" s="174" t="s">
        <v>1</v>
      </c>
      <c r="C5" s="174"/>
      <c r="D5" s="175"/>
      <c r="E5" s="175"/>
      <c r="F5" s="175"/>
      <c r="G5" s="175"/>
      <c r="H5" s="175"/>
      <c r="I5" s="175"/>
    </row>
    <row r="6" spans="1:12" ht="4.95" customHeight="1" x14ac:dyDescent="0.25"/>
    <row r="7" spans="1:12" ht="14.4" x14ac:dyDescent="0.25">
      <c r="B7" s="5" t="s">
        <v>2</v>
      </c>
      <c r="C7" s="5"/>
      <c r="F7" s="163" t="s">
        <v>3</v>
      </c>
      <c r="K7" s="354" t="s">
        <v>4</v>
      </c>
      <c r="L7" s="354"/>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19.95" customHeight="1" thickBot="1" x14ac:dyDescent="0.3">
      <c r="B12" s="174" t="s">
        <v>10</v>
      </c>
      <c r="C12" s="174"/>
      <c r="D12" s="175"/>
      <c r="E12" s="175"/>
      <c r="F12" s="175"/>
      <c r="G12" s="175"/>
      <c r="H12" s="175"/>
      <c r="I12" s="175"/>
    </row>
    <row r="13" spans="1:12" ht="4.95" customHeight="1" x14ac:dyDescent="0.25"/>
    <row r="14" spans="1:12" s="176" customFormat="1" ht="19.95" customHeight="1" x14ac:dyDescent="0.35">
      <c r="B14" s="177" t="s">
        <v>11</v>
      </c>
    </row>
    <row r="15" spans="1:12" ht="15" customHeight="1" x14ac:dyDescent="0.25">
      <c r="A15" s="6">
        <f>IF(F15="Actual matches",1,0)</f>
        <v>0</v>
      </c>
      <c r="B15" s="166" t="s">
        <v>12</v>
      </c>
      <c r="C15" s="166"/>
      <c r="D15" s="166"/>
      <c r="F15" s="344" t="s">
        <v>13</v>
      </c>
      <c r="G15" s="344"/>
      <c r="H15" s="344"/>
      <c r="I15" s="344"/>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19.95" customHeight="1" x14ac:dyDescent="0.35">
      <c r="B18" s="178" t="s">
        <v>19</v>
      </c>
      <c r="C18" s="179"/>
      <c r="D18" s="179"/>
      <c r="F18" s="180"/>
      <c r="G18" s="180"/>
      <c r="H18" s="180"/>
      <c r="I18" s="180"/>
    </row>
    <row r="19" spans="2:9" ht="14.4"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ht="14.4"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19.95" customHeight="1" thickBot="1" x14ac:dyDescent="0.4">
      <c r="B30" s="181" t="s">
        <v>26</v>
      </c>
      <c r="C30" s="181"/>
      <c r="D30" s="182"/>
      <c r="E30" s="182"/>
      <c r="F30" s="182"/>
      <c r="G30" s="182"/>
      <c r="H30" s="182"/>
      <c r="I30" s="182"/>
    </row>
    <row r="31" spans="2:9" ht="4.95" customHeight="1" x14ac:dyDescent="0.25"/>
    <row r="32" spans="2:9" ht="14.55"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45" t="s">
        <v>36</v>
      </c>
      <c r="H41" s="346"/>
      <c r="I41" s="347"/>
    </row>
    <row r="42" spans="2:9" ht="15" customHeight="1" x14ac:dyDescent="0.25">
      <c r="B42" s="284"/>
      <c r="C42" s="285" t="s">
        <v>31</v>
      </c>
      <c r="D42" s="286" t="s">
        <v>37</v>
      </c>
      <c r="E42" s="287"/>
      <c r="F42" s="297">
        <v>8</v>
      </c>
      <c r="G42" s="348"/>
      <c r="H42" s="349"/>
      <c r="I42" s="350"/>
    </row>
    <row r="43" spans="2:9" ht="15" customHeight="1" x14ac:dyDescent="0.25">
      <c r="B43" s="284"/>
      <c r="C43" s="285" t="s">
        <v>31</v>
      </c>
      <c r="D43" s="286" t="s">
        <v>38</v>
      </c>
      <c r="E43" s="287"/>
      <c r="F43" s="297">
        <v>4</v>
      </c>
      <c r="G43" s="348"/>
      <c r="H43" s="349"/>
      <c r="I43" s="350"/>
    </row>
    <row r="44" spans="2:9" ht="15" customHeight="1" x14ac:dyDescent="0.25">
      <c r="B44" s="284"/>
      <c r="C44" s="285" t="s">
        <v>31</v>
      </c>
      <c r="D44" s="286" t="s">
        <v>39</v>
      </c>
      <c r="E44" s="287"/>
      <c r="F44" s="297">
        <v>2</v>
      </c>
      <c r="G44" s="348"/>
      <c r="H44" s="349"/>
      <c r="I44" s="350"/>
    </row>
    <row r="45" spans="2:9" ht="15" customHeight="1" x14ac:dyDescent="0.25">
      <c r="B45" s="284">
        <v>6</v>
      </c>
      <c r="C45" s="286" t="s">
        <v>40</v>
      </c>
      <c r="D45" s="286"/>
      <c r="E45" s="287"/>
      <c r="F45" s="297"/>
      <c r="G45" s="348"/>
      <c r="H45" s="349"/>
      <c r="I45" s="350"/>
    </row>
    <row r="46" spans="2:9" ht="15" customHeight="1" x14ac:dyDescent="0.25">
      <c r="B46" s="284"/>
      <c r="C46" s="285" t="s">
        <v>31</v>
      </c>
      <c r="D46" s="286" t="s">
        <v>41</v>
      </c>
      <c r="E46" s="287"/>
      <c r="F46" s="297">
        <v>8</v>
      </c>
      <c r="G46" s="348"/>
      <c r="H46" s="349"/>
      <c r="I46" s="350"/>
    </row>
    <row r="47" spans="2:9" ht="15" customHeight="1" x14ac:dyDescent="0.25">
      <c r="B47" s="284"/>
      <c r="C47" s="285" t="s">
        <v>31</v>
      </c>
      <c r="D47" s="286" t="s">
        <v>42</v>
      </c>
      <c r="E47" s="287"/>
      <c r="F47" s="297">
        <v>4</v>
      </c>
      <c r="G47" s="348"/>
      <c r="H47" s="349"/>
      <c r="I47" s="350"/>
    </row>
    <row r="48" spans="2:9" ht="15" customHeight="1" x14ac:dyDescent="0.25">
      <c r="B48" s="284">
        <v>7</v>
      </c>
      <c r="C48" s="286" t="s">
        <v>43</v>
      </c>
      <c r="D48" s="286"/>
      <c r="E48" s="287"/>
      <c r="F48" s="297"/>
      <c r="G48" s="348"/>
      <c r="H48" s="349"/>
      <c r="I48" s="350"/>
    </row>
    <row r="49" spans="2:9" ht="15" customHeight="1" x14ac:dyDescent="0.25">
      <c r="B49" s="284"/>
      <c r="C49" s="285" t="s">
        <v>31</v>
      </c>
      <c r="D49" s="286" t="s">
        <v>44</v>
      </c>
      <c r="E49" s="287"/>
      <c r="F49" s="297">
        <v>8</v>
      </c>
      <c r="G49" s="348"/>
      <c r="H49" s="349"/>
      <c r="I49" s="350"/>
    </row>
    <row r="50" spans="2:9" ht="15" customHeight="1" thickBot="1" x14ac:dyDescent="0.3">
      <c r="B50" s="288"/>
      <c r="C50" s="289" t="s">
        <v>31</v>
      </c>
      <c r="D50" s="290" t="s">
        <v>45</v>
      </c>
      <c r="E50" s="291"/>
      <c r="F50" s="298">
        <v>4</v>
      </c>
      <c r="G50" s="351"/>
      <c r="H50" s="352"/>
      <c r="I50" s="353"/>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45" t="s">
        <v>36</v>
      </c>
      <c r="H52" s="346"/>
      <c r="I52" s="347"/>
    </row>
    <row r="53" spans="2:9" ht="15" customHeight="1" x14ac:dyDescent="0.25">
      <c r="B53" s="284">
        <v>10</v>
      </c>
      <c r="C53" s="286" t="s">
        <v>48</v>
      </c>
      <c r="D53" s="292"/>
      <c r="E53" s="287"/>
      <c r="F53" s="297">
        <v>24</v>
      </c>
      <c r="G53" s="348"/>
      <c r="H53" s="349"/>
      <c r="I53" s="350"/>
    </row>
    <row r="54" spans="2:9" ht="15" customHeight="1" x14ac:dyDescent="0.25">
      <c r="B54" s="284">
        <v>11</v>
      </c>
      <c r="C54" s="286" t="s">
        <v>49</v>
      </c>
      <c r="D54" s="292"/>
      <c r="E54" s="287"/>
      <c r="F54" s="299">
        <f>SUM(F55:F58)</f>
        <v>90</v>
      </c>
      <c r="G54" s="348"/>
      <c r="H54" s="349"/>
      <c r="I54" s="350"/>
    </row>
    <row r="55" spans="2:9" ht="15" customHeight="1" x14ac:dyDescent="0.25">
      <c r="B55" s="293"/>
      <c r="C55" s="285" t="s">
        <v>31</v>
      </c>
      <c r="D55" s="294" t="s">
        <v>50</v>
      </c>
      <c r="E55" s="287"/>
      <c r="F55" s="297">
        <v>6</v>
      </c>
      <c r="G55" s="348"/>
      <c r="H55" s="349"/>
      <c r="I55" s="350"/>
    </row>
    <row r="56" spans="2:9" ht="15" customHeight="1" x14ac:dyDescent="0.25">
      <c r="B56" s="293"/>
      <c r="C56" s="285" t="s">
        <v>31</v>
      </c>
      <c r="D56" s="294" t="s">
        <v>51</v>
      </c>
      <c r="E56" s="287"/>
      <c r="F56" s="297">
        <v>12</v>
      </c>
      <c r="G56" s="348"/>
      <c r="H56" s="349"/>
      <c r="I56" s="350"/>
    </row>
    <row r="57" spans="2:9" ht="15" customHeight="1" x14ac:dyDescent="0.25">
      <c r="B57" s="293"/>
      <c r="C57" s="285" t="s">
        <v>31</v>
      </c>
      <c r="D57" s="294" t="s">
        <v>52</v>
      </c>
      <c r="E57" s="287"/>
      <c r="F57" s="297">
        <v>24</v>
      </c>
      <c r="G57" s="348"/>
      <c r="H57" s="349"/>
      <c r="I57" s="350"/>
    </row>
    <row r="58" spans="2:9" ht="15" customHeight="1" x14ac:dyDescent="0.25">
      <c r="B58" s="293"/>
      <c r="C58" s="285" t="s">
        <v>31</v>
      </c>
      <c r="D58" s="294" t="s">
        <v>53</v>
      </c>
      <c r="E58" s="287"/>
      <c r="F58" s="297">
        <v>48</v>
      </c>
      <c r="G58" s="348"/>
      <c r="H58" s="349"/>
      <c r="I58" s="350"/>
    </row>
    <row r="59" spans="2:9" ht="15" customHeight="1" x14ac:dyDescent="0.25">
      <c r="B59" s="284">
        <v>12</v>
      </c>
      <c r="C59" s="292" t="s">
        <v>54</v>
      </c>
      <c r="D59" s="292"/>
      <c r="E59" s="287"/>
      <c r="F59" s="299">
        <f>SUM(F60:F62)</f>
        <v>42</v>
      </c>
      <c r="G59" s="348"/>
      <c r="H59" s="349"/>
      <c r="I59" s="350"/>
    </row>
    <row r="60" spans="2:9" ht="15" customHeight="1" x14ac:dyDescent="0.25">
      <c r="B60" s="293"/>
      <c r="C60" s="285" t="s">
        <v>31</v>
      </c>
      <c r="D60" s="294" t="s">
        <v>50</v>
      </c>
      <c r="E60" s="287"/>
      <c r="F60" s="297">
        <v>6</v>
      </c>
      <c r="G60" s="348"/>
      <c r="H60" s="349"/>
      <c r="I60" s="350"/>
    </row>
    <row r="61" spans="2:9" ht="15" customHeight="1" x14ac:dyDescent="0.25">
      <c r="B61" s="293"/>
      <c r="C61" s="285" t="s">
        <v>31</v>
      </c>
      <c r="D61" s="294" t="s">
        <v>55</v>
      </c>
      <c r="E61" s="287"/>
      <c r="F61" s="297">
        <v>12</v>
      </c>
      <c r="G61" s="348"/>
      <c r="H61" s="349"/>
      <c r="I61" s="350"/>
    </row>
    <row r="62" spans="2:9" ht="15" customHeight="1" x14ac:dyDescent="0.25">
      <c r="B62" s="293"/>
      <c r="C62" s="285" t="s">
        <v>31</v>
      </c>
      <c r="D62" s="294" t="s">
        <v>56</v>
      </c>
      <c r="E62" s="287"/>
      <c r="F62" s="297">
        <v>24</v>
      </c>
      <c r="G62" s="348"/>
      <c r="H62" s="349"/>
      <c r="I62" s="350"/>
    </row>
    <row r="63" spans="2:9" ht="15" customHeight="1" x14ac:dyDescent="0.25">
      <c r="B63" s="284">
        <v>13</v>
      </c>
      <c r="C63" s="292" t="s">
        <v>57</v>
      </c>
      <c r="D63" s="292"/>
      <c r="E63" s="287"/>
      <c r="F63" s="299">
        <f>SUM(F64:F65)</f>
        <v>18</v>
      </c>
      <c r="G63" s="348"/>
      <c r="H63" s="349"/>
      <c r="I63" s="350"/>
    </row>
    <row r="64" spans="2:9" ht="15" customHeight="1" x14ac:dyDescent="0.25">
      <c r="B64" s="293"/>
      <c r="C64" s="285" t="s">
        <v>31</v>
      </c>
      <c r="D64" s="294" t="s">
        <v>50</v>
      </c>
      <c r="E64" s="287"/>
      <c r="F64" s="297">
        <v>6</v>
      </c>
      <c r="G64" s="348"/>
      <c r="H64" s="349"/>
      <c r="I64" s="350"/>
    </row>
    <row r="65" spans="2:9" ht="15" customHeight="1" x14ac:dyDescent="0.25">
      <c r="B65" s="293"/>
      <c r="C65" s="285" t="s">
        <v>31</v>
      </c>
      <c r="D65" s="294" t="s">
        <v>55</v>
      </c>
      <c r="E65" s="287"/>
      <c r="F65" s="297">
        <v>12</v>
      </c>
      <c r="G65" s="348"/>
      <c r="H65" s="349"/>
      <c r="I65" s="350"/>
    </row>
    <row r="66" spans="2:9" ht="15" customHeight="1" thickBot="1" x14ac:dyDescent="0.3">
      <c r="B66" s="288">
        <v>14</v>
      </c>
      <c r="C66" s="290" t="s">
        <v>58</v>
      </c>
      <c r="D66" s="295"/>
      <c r="E66" s="291"/>
      <c r="F66" s="298">
        <v>0</v>
      </c>
      <c r="G66" s="351"/>
      <c r="H66" s="352"/>
      <c r="I66" s="353"/>
    </row>
    <row r="67" spans="2:9" ht="15" customHeight="1" x14ac:dyDescent="0.25">
      <c r="B67" s="236" t="s">
        <v>59</v>
      </c>
    </row>
    <row r="68" spans="2:9" s="173" customFormat="1" ht="19.95" customHeight="1" thickBot="1" x14ac:dyDescent="0.3">
      <c r="B68" s="174" t="s">
        <v>60</v>
      </c>
      <c r="C68" s="174"/>
      <c r="D68" s="175"/>
      <c r="E68" s="175"/>
      <c r="F68" s="175"/>
      <c r="G68" s="175"/>
      <c r="H68" s="175"/>
      <c r="I68" s="175"/>
    </row>
    <row r="69" spans="2:9" ht="4.95" customHeight="1" x14ac:dyDescent="0.25"/>
    <row r="70" spans="2:9" ht="15" customHeight="1" x14ac:dyDescent="0.25">
      <c r="B70" s="4" t="s">
        <v>61</v>
      </c>
    </row>
    <row r="71" spans="2:9" ht="15" customHeight="1" x14ac:dyDescent="0.25">
      <c r="B71" s="4">
        <v>1</v>
      </c>
      <c r="C71" s="4" t="s">
        <v>62</v>
      </c>
    </row>
    <row r="72" spans="2:9" ht="14.55" customHeight="1" x14ac:dyDescent="0.25">
      <c r="B72" s="4">
        <v>2</v>
      </c>
      <c r="C72" s="4" t="s">
        <v>63</v>
      </c>
    </row>
    <row r="73" spans="2:9" ht="14.55" customHeight="1" x14ac:dyDescent="0.25">
      <c r="B73" s="4">
        <v>3</v>
      </c>
      <c r="C73" s="4" t="s">
        <v>64</v>
      </c>
    </row>
    <row r="74" spans="2:9" ht="14.55" customHeight="1" x14ac:dyDescent="0.25">
      <c r="B74" s="4">
        <v>4</v>
      </c>
      <c r="C74" s="4" t="s">
        <v>65</v>
      </c>
    </row>
    <row r="77" spans="2:9" ht="14.55"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baseColWidth="10" defaultColWidth="8.77734375" defaultRowHeight="13.2" x14ac:dyDescent="0.25"/>
  <cols>
    <col min="1" max="1" width="1.44140625" customWidth="1"/>
    <col min="2" max="15" width="8.77734375" customWidth="1"/>
  </cols>
  <sheetData>
    <row r="1" spans="2:13" s="31" customFormat="1" ht="4.95" customHeight="1" x14ac:dyDescent="0.2">
      <c r="I1" s="32"/>
      <c r="J1" s="32"/>
    </row>
    <row r="2" spans="2:13" s="7" customFormat="1" ht="4.95" customHeight="1" x14ac:dyDescent="0.2">
      <c r="I2" s="11"/>
      <c r="J2" s="11"/>
    </row>
    <row r="3" spans="2:13" s="7" customFormat="1" ht="30" customHeight="1" x14ac:dyDescent="0.2">
      <c r="B3" s="17" t="s">
        <v>281</v>
      </c>
      <c r="C3" s="33"/>
      <c r="D3" s="33"/>
      <c r="E3" s="33"/>
      <c r="F3" s="33"/>
      <c r="G3" s="33"/>
      <c r="H3" s="33"/>
      <c r="I3" s="33"/>
      <c r="J3" s="33"/>
      <c r="K3" s="33"/>
      <c r="L3" s="33"/>
      <c r="M3" s="33"/>
    </row>
    <row r="4" spans="2:13" s="7" customFormat="1" ht="4.95" customHeight="1" x14ac:dyDescent="0.2">
      <c r="I4" s="34"/>
      <c r="J4" s="11"/>
    </row>
    <row r="14" spans="2:13" x14ac:dyDescent="0.25">
      <c r="G14" s="274" t="s">
        <v>282</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baseColWidth="10" defaultColWidth="8.6640625" defaultRowHeight="14.4" x14ac:dyDescent="0.3"/>
  <cols>
    <col min="1" max="1" width="1.44140625" style="2" customWidth="1"/>
    <col min="2" max="2" width="3.44140625" style="2" customWidth="1"/>
    <col min="3" max="3" width="26.44140625" style="2" customWidth="1"/>
    <col min="4" max="4" width="1.44140625" style="2" customWidth="1"/>
    <col min="5" max="5" width="9.44140625" style="2" customWidth="1"/>
    <col min="6" max="8" width="20.44140625" style="2" customWidth="1"/>
    <col min="9" max="9" width="1.44140625" style="2" customWidth="1"/>
    <col min="10" max="14" width="8.6640625" style="2"/>
    <col min="15" max="15" width="6" style="2" customWidth="1"/>
    <col min="16" max="16384" width="8.6640625" style="2"/>
  </cols>
  <sheetData>
    <row r="1" spans="2:15" s="207" customFormat="1" ht="4.95" customHeight="1" x14ac:dyDescent="0.3">
      <c r="J1" s="208"/>
      <c r="K1" s="208"/>
    </row>
    <row r="2" spans="2:15" s="209" customFormat="1" ht="4.95" customHeight="1" x14ac:dyDescent="0.3">
      <c r="J2" s="210"/>
      <c r="K2" s="210"/>
    </row>
    <row r="3" spans="2:15" s="209" customFormat="1" ht="30" customHeight="1" x14ac:dyDescent="0.3">
      <c r="B3" s="18" t="s">
        <v>283</v>
      </c>
      <c r="C3" s="18"/>
      <c r="D3" s="18"/>
      <c r="E3" s="211"/>
      <c r="F3" s="211"/>
      <c r="G3" s="211"/>
      <c r="H3" s="211"/>
      <c r="I3" s="211"/>
      <c r="J3" s="211"/>
      <c r="K3" s="211"/>
      <c r="L3" s="211"/>
      <c r="M3" s="211"/>
      <c r="N3" s="211"/>
    </row>
    <row r="4" spans="2:15" s="209" customFormat="1" ht="4.95"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284</v>
      </c>
      <c r="I7" s="19"/>
      <c r="J7" s="37"/>
      <c r="K7" s="37"/>
      <c r="L7" s="37"/>
      <c r="M7" s="37"/>
      <c r="N7" s="37"/>
      <c r="O7" s="37"/>
    </row>
    <row r="8" spans="2:15" x14ac:dyDescent="0.3">
      <c r="B8" s="194"/>
      <c r="C8" s="194" t="s">
        <v>285</v>
      </c>
      <c r="D8" s="194" t="s">
        <v>286</v>
      </c>
      <c r="E8" s="194" t="s">
        <v>287</v>
      </c>
      <c r="F8" s="194"/>
      <c r="G8" s="194"/>
      <c r="H8" s="238" t="s">
        <v>288</v>
      </c>
      <c r="I8" s="239"/>
      <c r="J8" s="238"/>
      <c r="K8" s="238"/>
      <c r="L8" s="238"/>
      <c r="M8" s="238"/>
      <c r="N8" s="238"/>
      <c r="O8" s="37"/>
    </row>
    <row r="9" spans="2:15" x14ac:dyDescent="0.3">
      <c r="B9" s="194"/>
      <c r="C9" s="194" t="s">
        <v>289</v>
      </c>
      <c r="D9" s="194" t="s">
        <v>286</v>
      </c>
      <c r="E9" s="195" t="s">
        <v>290</v>
      </c>
      <c r="F9" s="194"/>
      <c r="G9" s="194"/>
      <c r="H9" s="218"/>
      <c r="I9" s="19"/>
      <c r="J9" s="37"/>
      <c r="K9" s="37"/>
      <c r="L9" s="37"/>
      <c r="M9" s="37"/>
      <c r="N9" s="37"/>
      <c r="O9" s="37"/>
    </row>
    <row r="10" spans="2:15" x14ac:dyDescent="0.3">
      <c r="B10" s="194"/>
      <c r="C10" s="194" t="s">
        <v>291</v>
      </c>
      <c r="D10" s="194" t="s">
        <v>286</v>
      </c>
      <c r="E10" s="194" t="s">
        <v>292</v>
      </c>
      <c r="F10" s="194"/>
      <c r="G10" s="194"/>
      <c r="H10" s="218"/>
      <c r="I10" s="19"/>
      <c r="J10" s="37"/>
      <c r="K10" s="37"/>
      <c r="L10" s="37"/>
      <c r="M10" s="37"/>
      <c r="N10" s="37"/>
      <c r="O10" s="37"/>
    </row>
    <row r="11" spans="2:15" x14ac:dyDescent="0.3">
      <c r="B11" s="194"/>
      <c r="C11" s="194" t="s">
        <v>293</v>
      </c>
      <c r="D11" s="194" t="s">
        <v>286</v>
      </c>
      <c r="E11" s="221" t="s">
        <v>294</v>
      </c>
      <c r="F11" s="196"/>
      <c r="G11" s="194"/>
      <c r="H11" s="218"/>
      <c r="I11" s="19"/>
      <c r="J11" s="37"/>
      <c r="K11" s="37"/>
      <c r="L11" s="37"/>
      <c r="M11" s="37"/>
      <c r="N11" s="37"/>
      <c r="O11" s="37"/>
    </row>
    <row r="12" spans="2:15" x14ac:dyDescent="0.3">
      <c r="B12" s="194"/>
      <c r="C12" s="194" t="s">
        <v>295</v>
      </c>
      <c r="D12" s="194" t="s">
        <v>286</v>
      </c>
      <c r="E12" s="218" t="s">
        <v>296</v>
      </c>
      <c r="F12" s="218"/>
      <c r="G12" s="194"/>
      <c r="H12" s="218"/>
      <c r="I12" s="19"/>
      <c r="J12" s="37"/>
      <c r="K12" s="37"/>
      <c r="L12" s="37"/>
      <c r="M12" s="37"/>
      <c r="N12" s="37"/>
      <c r="O12" s="37"/>
    </row>
    <row r="13" spans="2:15" x14ac:dyDescent="0.3">
      <c r="B13" s="194"/>
      <c r="C13" s="194" t="s">
        <v>297</v>
      </c>
      <c r="D13" s="194" t="s">
        <v>286</v>
      </c>
      <c r="E13" s="222" t="s">
        <v>298</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299</v>
      </c>
      <c r="G16" s="206" t="s">
        <v>300</v>
      </c>
      <c r="H16" s="233" t="s">
        <v>301</v>
      </c>
    </row>
    <row r="17" spans="2:8" ht="15" customHeight="1" x14ac:dyDescent="0.3">
      <c r="B17" s="214" t="s">
        <v>302</v>
      </c>
      <c r="C17" s="214"/>
      <c r="D17" s="214"/>
      <c r="E17" s="214"/>
      <c r="F17" s="228">
        <v>10</v>
      </c>
      <c r="G17" s="215">
        <v>100</v>
      </c>
      <c r="H17" s="225">
        <v>100</v>
      </c>
    </row>
    <row r="18" spans="2:8" ht="15" customHeight="1" x14ac:dyDescent="0.3">
      <c r="B18" s="214" t="s">
        <v>303</v>
      </c>
      <c r="C18" s="214"/>
      <c r="D18" s="214"/>
      <c r="E18" s="219"/>
      <c r="F18" s="229"/>
      <c r="G18" s="219"/>
      <c r="H18" s="226"/>
    </row>
    <row r="19" spans="2:8" ht="15" customHeight="1" x14ac:dyDescent="0.3">
      <c r="B19" s="220" t="s">
        <v>127</v>
      </c>
      <c r="C19" s="214" t="s">
        <v>304</v>
      </c>
      <c r="D19" s="214"/>
      <c r="E19" s="219"/>
      <c r="F19" s="228" t="s">
        <v>17</v>
      </c>
      <c r="G19" s="215" t="s">
        <v>17</v>
      </c>
      <c r="H19" s="225" t="s">
        <v>17</v>
      </c>
    </row>
    <row r="20" spans="2:8" ht="15" customHeight="1" x14ac:dyDescent="0.3">
      <c r="B20" s="220" t="s">
        <v>127</v>
      </c>
      <c r="C20" s="214" t="s">
        <v>305</v>
      </c>
      <c r="D20" s="214"/>
      <c r="E20" s="219"/>
      <c r="F20" s="228" t="s">
        <v>17</v>
      </c>
      <c r="G20" s="215" t="s">
        <v>17</v>
      </c>
      <c r="H20" s="225" t="s">
        <v>17</v>
      </c>
    </row>
    <row r="21" spans="2:8" ht="15" customHeight="1" x14ac:dyDescent="0.3">
      <c r="B21" s="220" t="s">
        <v>127</v>
      </c>
      <c r="C21" s="214" t="s">
        <v>306</v>
      </c>
      <c r="D21" s="214"/>
      <c r="E21" s="219"/>
      <c r="F21" s="228" t="s">
        <v>17</v>
      </c>
      <c r="G21" s="215" t="s">
        <v>17</v>
      </c>
      <c r="H21" s="225" t="s">
        <v>17</v>
      </c>
    </row>
    <row r="22" spans="2:8" ht="15" customHeight="1" x14ac:dyDescent="0.3">
      <c r="B22" s="220" t="s">
        <v>127</v>
      </c>
      <c r="C22" s="214" t="s">
        <v>307</v>
      </c>
      <c r="D22" s="214"/>
      <c r="E22" s="219"/>
      <c r="F22" s="228" t="s">
        <v>17</v>
      </c>
      <c r="G22" s="215" t="s">
        <v>17</v>
      </c>
      <c r="H22" s="225" t="s">
        <v>17</v>
      </c>
    </row>
    <row r="23" spans="2:8" ht="15" customHeight="1" x14ac:dyDescent="0.3">
      <c r="B23" s="220" t="s">
        <v>127</v>
      </c>
      <c r="C23" s="214" t="s">
        <v>308</v>
      </c>
      <c r="D23" s="214"/>
      <c r="E23" s="219"/>
      <c r="F23" s="228" t="s">
        <v>17</v>
      </c>
      <c r="G23" s="215" t="s">
        <v>17</v>
      </c>
      <c r="H23" s="225" t="s">
        <v>17</v>
      </c>
    </row>
    <row r="24" spans="2:8" ht="15" customHeight="1" x14ac:dyDescent="0.3">
      <c r="B24" s="220" t="s">
        <v>127</v>
      </c>
      <c r="C24" s="214" t="s">
        <v>309</v>
      </c>
      <c r="D24" s="214"/>
      <c r="E24" s="214"/>
      <c r="F24" s="230" t="s">
        <v>310</v>
      </c>
      <c r="G24" s="216" t="s">
        <v>311</v>
      </c>
      <c r="H24" s="227" t="s">
        <v>311</v>
      </c>
    </row>
    <row r="25" spans="2:8" ht="15" customHeight="1" x14ac:dyDescent="0.3">
      <c r="B25" s="214" t="s">
        <v>312</v>
      </c>
      <c r="C25" s="214"/>
      <c r="D25" s="214"/>
      <c r="E25" s="214"/>
      <c r="F25" s="228" t="s">
        <v>313</v>
      </c>
      <c r="G25" s="215" t="s">
        <v>313</v>
      </c>
      <c r="H25" s="225" t="s">
        <v>314</v>
      </c>
    </row>
    <row r="26" spans="2:8" ht="15" customHeight="1" x14ac:dyDescent="0.3">
      <c r="B26" s="214" t="s">
        <v>315</v>
      </c>
      <c r="C26" s="214"/>
      <c r="D26" s="214"/>
      <c r="E26" s="214"/>
      <c r="F26" s="228" t="s">
        <v>67</v>
      </c>
      <c r="G26" s="215" t="s">
        <v>316</v>
      </c>
      <c r="H26" s="225" t="s">
        <v>317</v>
      </c>
    </row>
    <row r="27" spans="2:8" ht="15" customHeight="1" x14ac:dyDescent="0.3">
      <c r="B27" s="214" t="s">
        <v>318</v>
      </c>
      <c r="C27" s="214"/>
      <c r="D27" s="214"/>
      <c r="E27" s="214"/>
      <c r="F27" s="228" t="s">
        <v>67</v>
      </c>
      <c r="G27" s="215" t="s">
        <v>67</v>
      </c>
      <c r="H27" s="225" t="s">
        <v>17</v>
      </c>
    </row>
    <row r="28" spans="2:8" ht="15" customHeight="1" x14ac:dyDescent="0.3">
      <c r="B28" s="214" t="s">
        <v>319</v>
      </c>
      <c r="C28" s="214"/>
      <c r="D28" s="214"/>
      <c r="E28" s="214"/>
      <c r="F28" s="228" t="s">
        <v>313</v>
      </c>
      <c r="G28" s="215" t="s">
        <v>320</v>
      </c>
      <c r="H28" s="225" t="s">
        <v>320</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321</v>
      </c>
      <c r="H33" s="217" t="s">
        <v>322</v>
      </c>
    </row>
    <row r="35" spans="2:8" ht="15.6" x14ac:dyDescent="0.3">
      <c r="B35" s="412" t="s">
        <v>323</v>
      </c>
      <c r="C35" s="412"/>
      <c r="D35" s="412"/>
      <c r="E35" s="412"/>
      <c r="F35" s="412"/>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baseColWidth="10" defaultColWidth="9.109375" defaultRowHeight="12.6" x14ac:dyDescent="0.2"/>
  <cols>
    <col min="1" max="1" width="3.77734375" style="321" customWidth="1"/>
    <col min="2" max="112" width="8.77734375" style="321" customWidth="1"/>
    <col min="113" max="119" width="8.77734375" style="327" customWidth="1"/>
    <col min="120" max="240" width="8.77734375" style="321" customWidth="1"/>
    <col min="241" max="247" width="8.77734375" style="327" customWidth="1"/>
    <col min="248" max="368" width="8.77734375" style="321" customWidth="1"/>
    <col min="369" max="375" width="8.77734375" style="327" customWidth="1"/>
    <col min="376" max="496" width="8.77734375" style="321" customWidth="1"/>
    <col min="497" max="503" width="8.77734375" style="327" customWidth="1"/>
    <col min="504" max="624" width="8.77734375" style="321" customWidth="1"/>
    <col min="625" max="631" width="8.77734375" style="327" customWidth="1"/>
    <col min="632" max="752" width="8.77734375" style="321" customWidth="1"/>
    <col min="753" max="759" width="8.77734375" style="327" customWidth="1"/>
    <col min="760" max="880" width="8.77734375" style="321" customWidth="1"/>
    <col min="881" max="887" width="8.77734375" style="327" customWidth="1"/>
    <col min="888" max="1008" width="8.77734375" style="321" customWidth="1"/>
    <col min="1009" max="1015" width="8.77734375" style="327" customWidth="1"/>
    <col min="1016" max="1136" width="8.77734375" style="321" customWidth="1"/>
    <col min="1137" max="1143" width="8.77734375" style="327" customWidth="1"/>
    <col min="1144" max="1264" width="8.77734375" style="321" customWidth="1"/>
    <col min="1265" max="1271" width="8.77734375" style="327" customWidth="1"/>
    <col min="1272" max="1392" width="8.77734375" style="321" customWidth="1"/>
    <col min="1393" max="1399" width="8.77734375" style="327" customWidth="1"/>
    <col min="1400" max="1520" width="8.77734375" style="321" customWidth="1"/>
    <col min="1521" max="1527" width="8.77734375" style="327" customWidth="1"/>
    <col min="1528" max="1536" width="8.777343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324</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325</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324</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325</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324</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325</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324</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325</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324</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325</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324</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325</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324</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325</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324</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325</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324</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325</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324</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325</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324</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325</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324</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326</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327</v>
      </c>
      <c r="AP2" s="319"/>
      <c r="AQ2" s="319"/>
      <c r="AR2" s="319"/>
      <c r="AS2" s="319"/>
      <c r="AT2" s="319"/>
      <c r="AU2" s="319"/>
      <c r="AV2" s="319"/>
      <c r="AW2" s="319"/>
      <c r="AX2" s="319"/>
      <c r="AY2" s="319"/>
      <c r="AZ2" s="319"/>
      <c r="BA2" s="319"/>
      <c r="BB2" s="319"/>
      <c r="BC2" s="319"/>
      <c r="BD2" s="319"/>
      <c r="BE2" s="319"/>
      <c r="BF2" s="319"/>
      <c r="BG2" s="319"/>
      <c r="BH2" s="319"/>
      <c r="BI2" s="319" t="s">
        <v>328</v>
      </c>
      <c r="BJ2" s="319"/>
      <c r="BK2" s="319"/>
      <c r="BL2" s="319"/>
      <c r="BM2" s="319"/>
      <c r="BN2" s="319"/>
      <c r="BO2" s="319"/>
      <c r="BP2" s="319"/>
      <c r="BQ2" s="319"/>
      <c r="BR2" s="319"/>
      <c r="BS2" s="319"/>
      <c r="BT2" s="319"/>
      <c r="BU2" s="319"/>
      <c r="BV2" s="319"/>
      <c r="BW2" s="319"/>
      <c r="BX2" s="319"/>
      <c r="BY2" s="319"/>
      <c r="BZ2" s="319"/>
      <c r="CA2" s="319"/>
      <c r="CB2" s="319"/>
      <c r="CC2" s="319" t="s">
        <v>329</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330</v>
      </c>
      <c r="DB2" s="319" t="s">
        <v>331</v>
      </c>
      <c r="DC2" s="319"/>
      <c r="DD2" s="319"/>
      <c r="DE2" s="319"/>
      <c r="DF2" s="319"/>
      <c r="DG2" s="319"/>
      <c r="DH2" s="319"/>
      <c r="DI2" s="320" t="s">
        <v>152</v>
      </c>
      <c r="DJ2" s="320" t="s">
        <v>104</v>
      </c>
      <c r="DK2" s="320" t="s">
        <v>153</v>
      </c>
      <c r="DL2" s="320" t="s">
        <v>330</v>
      </c>
      <c r="DM2" s="320" t="s">
        <v>331</v>
      </c>
      <c r="DN2" s="320" t="s">
        <v>332</v>
      </c>
      <c r="DO2" s="320" t="s">
        <v>155</v>
      </c>
      <c r="DP2" s="319" t="s">
        <v>333</v>
      </c>
      <c r="DQ2" s="319" t="s">
        <v>334</v>
      </c>
      <c r="DR2" s="319" t="s">
        <v>335</v>
      </c>
      <c r="DS2" s="319" t="s">
        <v>336</v>
      </c>
      <c r="DT2" s="319" t="s">
        <v>337</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326</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327</v>
      </c>
      <c r="FN2" s="319"/>
      <c r="FO2" s="319"/>
      <c r="FP2" s="319"/>
      <c r="FQ2" s="319"/>
      <c r="FR2" s="319"/>
      <c r="FS2" s="319"/>
      <c r="FT2" s="319"/>
      <c r="FU2" s="319"/>
      <c r="FV2" s="319"/>
      <c r="FW2" s="319"/>
      <c r="FX2" s="319"/>
      <c r="FY2" s="319"/>
      <c r="FZ2" s="319"/>
      <c r="GA2" s="319"/>
      <c r="GB2" s="319"/>
      <c r="GC2" s="319"/>
      <c r="GD2" s="319"/>
      <c r="GE2" s="319"/>
      <c r="GF2" s="319"/>
      <c r="GG2" s="319" t="s">
        <v>328</v>
      </c>
      <c r="GH2" s="319"/>
      <c r="GI2" s="319"/>
      <c r="GJ2" s="319"/>
      <c r="GK2" s="319"/>
      <c r="GL2" s="319"/>
      <c r="GM2" s="319"/>
      <c r="GN2" s="319"/>
      <c r="GO2" s="319"/>
      <c r="GP2" s="319"/>
      <c r="GQ2" s="319"/>
      <c r="GR2" s="319"/>
      <c r="GS2" s="319"/>
      <c r="GT2" s="319"/>
      <c r="GU2" s="319"/>
      <c r="GV2" s="319"/>
      <c r="GW2" s="319"/>
      <c r="GX2" s="319"/>
      <c r="GY2" s="319"/>
      <c r="GZ2" s="319"/>
      <c r="HA2" s="319" t="s">
        <v>329</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330</v>
      </c>
      <c r="HZ2" s="319" t="s">
        <v>331</v>
      </c>
      <c r="IA2" s="319"/>
      <c r="IB2" s="319"/>
      <c r="IC2" s="319"/>
      <c r="ID2" s="319"/>
      <c r="IE2" s="319"/>
      <c r="IF2" s="319"/>
      <c r="IG2" s="320" t="s">
        <v>152</v>
      </c>
      <c r="IH2" s="320" t="s">
        <v>104</v>
      </c>
      <c r="II2" s="320" t="s">
        <v>153</v>
      </c>
      <c r="IJ2" s="320" t="s">
        <v>330</v>
      </c>
      <c r="IK2" s="320" t="s">
        <v>331</v>
      </c>
      <c r="IL2" s="320" t="s">
        <v>332</v>
      </c>
      <c r="IM2" s="320" t="s">
        <v>155</v>
      </c>
      <c r="IN2" s="319" t="s">
        <v>333</v>
      </c>
      <c r="IO2" s="319" t="s">
        <v>334</v>
      </c>
      <c r="IP2" s="319" t="s">
        <v>335</v>
      </c>
      <c r="IQ2" s="319" t="s">
        <v>336</v>
      </c>
      <c r="IR2" s="319" t="s">
        <v>337</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326</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327</v>
      </c>
      <c r="KL2" s="319"/>
      <c r="KM2" s="319"/>
      <c r="KN2" s="319"/>
      <c r="KO2" s="319"/>
      <c r="KP2" s="319"/>
      <c r="KQ2" s="319"/>
      <c r="KR2" s="319"/>
      <c r="KS2" s="319"/>
      <c r="KT2" s="319"/>
      <c r="KU2" s="319"/>
      <c r="KV2" s="319"/>
      <c r="KW2" s="319"/>
      <c r="KX2" s="319"/>
      <c r="KY2" s="319"/>
      <c r="KZ2" s="319"/>
      <c r="LA2" s="319"/>
      <c r="LB2" s="319"/>
      <c r="LC2" s="319"/>
      <c r="LD2" s="319"/>
      <c r="LE2" s="319" t="s">
        <v>328</v>
      </c>
      <c r="LF2" s="319"/>
      <c r="LG2" s="319"/>
      <c r="LH2" s="319"/>
      <c r="LI2" s="319"/>
      <c r="LJ2" s="319"/>
      <c r="LK2" s="319"/>
      <c r="LL2" s="319"/>
      <c r="LM2" s="319"/>
      <c r="LN2" s="319"/>
      <c r="LO2" s="319"/>
      <c r="LP2" s="319"/>
      <c r="LQ2" s="319"/>
      <c r="LR2" s="319"/>
      <c r="LS2" s="319"/>
      <c r="LT2" s="319"/>
      <c r="LU2" s="319"/>
      <c r="LV2" s="319"/>
      <c r="LW2" s="319"/>
      <c r="LX2" s="319"/>
      <c r="LY2" s="319" t="s">
        <v>329</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330</v>
      </c>
      <c r="MX2" s="319" t="s">
        <v>331</v>
      </c>
      <c r="MY2" s="319"/>
      <c r="MZ2" s="319"/>
      <c r="NA2" s="319"/>
      <c r="NB2" s="319"/>
      <c r="NC2" s="319"/>
      <c r="ND2" s="319"/>
      <c r="NE2" s="320" t="s">
        <v>152</v>
      </c>
      <c r="NF2" s="320" t="s">
        <v>104</v>
      </c>
      <c r="NG2" s="320" t="s">
        <v>153</v>
      </c>
      <c r="NH2" s="320" t="s">
        <v>330</v>
      </c>
      <c r="NI2" s="320" t="s">
        <v>331</v>
      </c>
      <c r="NJ2" s="320" t="s">
        <v>332</v>
      </c>
      <c r="NK2" s="320" t="s">
        <v>155</v>
      </c>
      <c r="NL2" s="319" t="s">
        <v>333</v>
      </c>
      <c r="NM2" s="319" t="s">
        <v>334</v>
      </c>
      <c r="NN2" s="319" t="s">
        <v>335</v>
      </c>
      <c r="NO2" s="319" t="s">
        <v>336</v>
      </c>
      <c r="NP2" s="319" t="s">
        <v>337</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326</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327</v>
      </c>
      <c r="PJ2" s="319"/>
      <c r="PK2" s="319"/>
      <c r="PL2" s="319"/>
      <c r="PM2" s="319"/>
      <c r="PN2" s="319"/>
      <c r="PO2" s="319"/>
      <c r="PP2" s="319"/>
      <c r="PQ2" s="319"/>
      <c r="PR2" s="319"/>
      <c r="PS2" s="319"/>
      <c r="PT2" s="319"/>
      <c r="PU2" s="319"/>
      <c r="PV2" s="319"/>
      <c r="PW2" s="319"/>
      <c r="PX2" s="319"/>
      <c r="PY2" s="319"/>
      <c r="PZ2" s="319"/>
      <c r="QA2" s="319"/>
      <c r="QB2" s="319"/>
      <c r="QC2" s="319" t="s">
        <v>328</v>
      </c>
      <c r="QD2" s="319"/>
      <c r="QE2" s="319"/>
      <c r="QF2" s="319"/>
      <c r="QG2" s="319"/>
      <c r="QH2" s="319"/>
      <c r="QI2" s="319"/>
      <c r="QJ2" s="319"/>
      <c r="QK2" s="319"/>
      <c r="QL2" s="319"/>
      <c r="QM2" s="319"/>
      <c r="QN2" s="319"/>
      <c r="QO2" s="319"/>
      <c r="QP2" s="319"/>
      <c r="QQ2" s="319"/>
      <c r="QR2" s="319"/>
      <c r="QS2" s="319"/>
      <c r="QT2" s="319"/>
      <c r="QU2" s="319"/>
      <c r="QV2" s="319"/>
      <c r="QW2" s="319" t="s">
        <v>329</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330</v>
      </c>
      <c r="RV2" s="319" t="s">
        <v>331</v>
      </c>
      <c r="RW2" s="319"/>
      <c r="RX2" s="319"/>
      <c r="RY2" s="319"/>
      <c r="RZ2" s="319"/>
      <c r="SA2" s="319"/>
      <c r="SB2" s="319"/>
      <c r="SC2" s="320" t="s">
        <v>152</v>
      </c>
      <c r="SD2" s="320" t="s">
        <v>104</v>
      </c>
      <c r="SE2" s="320" t="s">
        <v>153</v>
      </c>
      <c r="SF2" s="320" t="s">
        <v>330</v>
      </c>
      <c r="SG2" s="320" t="s">
        <v>331</v>
      </c>
      <c r="SH2" s="320" t="s">
        <v>332</v>
      </c>
      <c r="SI2" s="320" t="s">
        <v>155</v>
      </c>
      <c r="SJ2" s="319" t="s">
        <v>333</v>
      </c>
      <c r="SK2" s="319" t="s">
        <v>334</v>
      </c>
      <c r="SL2" s="319" t="s">
        <v>335</v>
      </c>
      <c r="SM2" s="319" t="s">
        <v>336</v>
      </c>
      <c r="SN2" s="319" t="s">
        <v>337</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326</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327</v>
      </c>
      <c r="UH2" s="319"/>
      <c r="UI2" s="319"/>
      <c r="UJ2" s="319"/>
      <c r="UK2" s="319"/>
      <c r="UL2" s="319"/>
      <c r="UM2" s="319"/>
      <c r="UN2" s="319"/>
      <c r="UO2" s="319"/>
      <c r="UP2" s="319"/>
      <c r="UQ2" s="319"/>
      <c r="UR2" s="319"/>
      <c r="US2" s="319"/>
      <c r="UT2" s="319"/>
      <c r="UU2" s="319"/>
      <c r="UV2" s="319"/>
      <c r="UW2" s="319"/>
      <c r="UX2" s="319"/>
      <c r="UY2" s="319"/>
      <c r="UZ2" s="319"/>
      <c r="VA2" s="319" t="s">
        <v>328</v>
      </c>
      <c r="VB2" s="319"/>
      <c r="VC2" s="319"/>
      <c r="VD2" s="319"/>
      <c r="VE2" s="319"/>
      <c r="VF2" s="319"/>
      <c r="VG2" s="319"/>
      <c r="VH2" s="319"/>
      <c r="VI2" s="319"/>
      <c r="VJ2" s="319"/>
      <c r="VK2" s="319"/>
      <c r="VL2" s="319"/>
      <c r="VM2" s="319"/>
      <c r="VN2" s="319"/>
      <c r="VO2" s="319"/>
      <c r="VP2" s="319"/>
      <c r="VQ2" s="319"/>
      <c r="VR2" s="319"/>
      <c r="VS2" s="319"/>
      <c r="VT2" s="319"/>
      <c r="VU2" s="319" t="s">
        <v>329</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330</v>
      </c>
      <c r="WT2" s="319" t="s">
        <v>331</v>
      </c>
      <c r="WU2" s="319"/>
      <c r="WV2" s="319"/>
      <c r="WW2" s="319"/>
      <c r="WX2" s="319"/>
      <c r="WY2" s="319"/>
      <c r="WZ2" s="319"/>
      <c r="XA2" s="320" t="s">
        <v>152</v>
      </c>
      <c r="XB2" s="320" t="s">
        <v>104</v>
      </c>
      <c r="XC2" s="320" t="s">
        <v>153</v>
      </c>
      <c r="XD2" s="320" t="s">
        <v>330</v>
      </c>
      <c r="XE2" s="320" t="s">
        <v>331</v>
      </c>
      <c r="XF2" s="320" t="s">
        <v>332</v>
      </c>
      <c r="XG2" s="320" t="s">
        <v>155</v>
      </c>
      <c r="XH2" s="319" t="s">
        <v>333</v>
      </c>
      <c r="XI2" s="319" t="s">
        <v>334</v>
      </c>
      <c r="XJ2" s="319" t="s">
        <v>335</v>
      </c>
      <c r="XK2" s="319" t="s">
        <v>336</v>
      </c>
      <c r="XL2" s="319" t="s">
        <v>337</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326</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327</v>
      </c>
      <c r="ZF2" s="319"/>
      <c r="ZG2" s="319"/>
      <c r="ZH2" s="319"/>
      <c r="ZI2" s="319"/>
      <c r="ZJ2" s="319"/>
      <c r="ZK2" s="319"/>
      <c r="ZL2" s="319"/>
      <c r="ZM2" s="319"/>
      <c r="ZN2" s="319"/>
      <c r="ZO2" s="319"/>
      <c r="ZP2" s="319"/>
      <c r="ZQ2" s="319"/>
      <c r="ZR2" s="319"/>
      <c r="ZS2" s="319"/>
      <c r="ZT2" s="319"/>
      <c r="ZU2" s="319"/>
      <c r="ZV2" s="319"/>
      <c r="ZW2" s="319"/>
      <c r="ZX2" s="319"/>
      <c r="ZY2" s="319" t="s">
        <v>328</v>
      </c>
      <c r="ZZ2" s="319"/>
      <c r="AAA2" s="319"/>
      <c r="AAB2" s="319"/>
      <c r="AAC2" s="319"/>
      <c r="AAD2" s="319"/>
      <c r="AAE2" s="319"/>
      <c r="AAF2" s="319"/>
      <c r="AAG2" s="319"/>
      <c r="AAH2" s="319"/>
      <c r="AAI2" s="319"/>
      <c r="AAJ2" s="319"/>
      <c r="AAK2" s="319"/>
      <c r="AAL2" s="319"/>
      <c r="AAM2" s="319"/>
      <c r="AAN2" s="319"/>
      <c r="AAO2" s="319"/>
      <c r="AAP2" s="319"/>
      <c r="AAQ2" s="319"/>
      <c r="AAR2" s="319"/>
      <c r="AAS2" s="319" t="s">
        <v>329</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330</v>
      </c>
      <c r="ABR2" s="319" t="s">
        <v>331</v>
      </c>
      <c r="ABS2" s="319"/>
      <c r="ABT2" s="319"/>
      <c r="ABU2" s="319"/>
      <c r="ABV2" s="319"/>
      <c r="ABW2" s="319"/>
      <c r="ABX2" s="319"/>
      <c r="ABY2" s="320" t="s">
        <v>152</v>
      </c>
      <c r="ABZ2" s="320" t="s">
        <v>104</v>
      </c>
      <c r="ACA2" s="320" t="s">
        <v>153</v>
      </c>
      <c r="ACB2" s="320" t="s">
        <v>330</v>
      </c>
      <c r="ACC2" s="320" t="s">
        <v>331</v>
      </c>
      <c r="ACD2" s="320" t="s">
        <v>332</v>
      </c>
      <c r="ACE2" s="320" t="s">
        <v>155</v>
      </c>
      <c r="ACF2" s="319" t="s">
        <v>333</v>
      </c>
      <c r="ACG2" s="319" t="s">
        <v>334</v>
      </c>
      <c r="ACH2" s="319" t="s">
        <v>335</v>
      </c>
      <c r="ACI2" s="319" t="s">
        <v>336</v>
      </c>
      <c r="ACJ2" s="319" t="s">
        <v>337</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326</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327</v>
      </c>
      <c r="AED2" s="319"/>
      <c r="AEE2" s="319"/>
      <c r="AEF2" s="319"/>
      <c r="AEG2" s="319"/>
      <c r="AEH2" s="319"/>
      <c r="AEI2" s="319"/>
      <c r="AEJ2" s="319"/>
      <c r="AEK2" s="319"/>
      <c r="AEL2" s="319"/>
      <c r="AEM2" s="319"/>
      <c r="AEN2" s="319"/>
      <c r="AEO2" s="319"/>
      <c r="AEP2" s="319"/>
      <c r="AEQ2" s="319"/>
      <c r="AER2" s="319"/>
      <c r="AES2" s="319"/>
      <c r="AET2" s="319"/>
      <c r="AEU2" s="319"/>
      <c r="AEV2" s="319"/>
      <c r="AEW2" s="319" t="s">
        <v>328</v>
      </c>
      <c r="AEX2" s="319"/>
      <c r="AEY2" s="319"/>
      <c r="AEZ2" s="319"/>
      <c r="AFA2" s="319"/>
      <c r="AFB2" s="319"/>
      <c r="AFC2" s="319"/>
      <c r="AFD2" s="319"/>
      <c r="AFE2" s="319"/>
      <c r="AFF2" s="319"/>
      <c r="AFG2" s="319"/>
      <c r="AFH2" s="319"/>
      <c r="AFI2" s="319"/>
      <c r="AFJ2" s="319"/>
      <c r="AFK2" s="319"/>
      <c r="AFL2" s="319"/>
      <c r="AFM2" s="319"/>
      <c r="AFN2" s="319"/>
      <c r="AFO2" s="319"/>
      <c r="AFP2" s="319"/>
      <c r="AFQ2" s="319" t="s">
        <v>329</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330</v>
      </c>
      <c r="AGP2" s="319" t="s">
        <v>331</v>
      </c>
      <c r="AGQ2" s="319"/>
      <c r="AGR2" s="319"/>
      <c r="AGS2" s="319"/>
      <c r="AGT2" s="319"/>
      <c r="AGU2" s="319"/>
      <c r="AGV2" s="319"/>
      <c r="AGW2" s="320" t="s">
        <v>152</v>
      </c>
      <c r="AGX2" s="320" t="s">
        <v>104</v>
      </c>
      <c r="AGY2" s="320" t="s">
        <v>153</v>
      </c>
      <c r="AGZ2" s="320" t="s">
        <v>330</v>
      </c>
      <c r="AHA2" s="320" t="s">
        <v>331</v>
      </c>
      <c r="AHB2" s="320" t="s">
        <v>332</v>
      </c>
      <c r="AHC2" s="320" t="s">
        <v>155</v>
      </c>
      <c r="AHD2" s="319" t="s">
        <v>333</v>
      </c>
      <c r="AHE2" s="319" t="s">
        <v>334</v>
      </c>
      <c r="AHF2" s="319" t="s">
        <v>335</v>
      </c>
      <c r="AHG2" s="319" t="s">
        <v>336</v>
      </c>
      <c r="AHH2" s="319" t="s">
        <v>337</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326</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327</v>
      </c>
      <c r="AJB2" s="319"/>
      <c r="AJC2" s="319"/>
      <c r="AJD2" s="319"/>
      <c r="AJE2" s="319"/>
      <c r="AJF2" s="319"/>
      <c r="AJG2" s="319"/>
      <c r="AJH2" s="319"/>
      <c r="AJI2" s="319"/>
      <c r="AJJ2" s="319"/>
      <c r="AJK2" s="319"/>
      <c r="AJL2" s="319"/>
      <c r="AJM2" s="319"/>
      <c r="AJN2" s="319"/>
      <c r="AJO2" s="319"/>
      <c r="AJP2" s="319"/>
      <c r="AJQ2" s="319"/>
      <c r="AJR2" s="319"/>
      <c r="AJS2" s="319"/>
      <c r="AJT2" s="319"/>
      <c r="AJU2" s="319" t="s">
        <v>328</v>
      </c>
      <c r="AJV2" s="319"/>
      <c r="AJW2" s="319"/>
      <c r="AJX2" s="319"/>
      <c r="AJY2" s="319"/>
      <c r="AJZ2" s="319"/>
      <c r="AKA2" s="319"/>
      <c r="AKB2" s="319"/>
      <c r="AKC2" s="319"/>
      <c r="AKD2" s="319"/>
      <c r="AKE2" s="319"/>
      <c r="AKF2" s="319"/>
      <c r="AKG2" s="319"/>
      <c r="AKH2" s="319"/>
      <c r="AKI2" s="319"/>
      <c r="AKJ2" s="319"/>
      <c r="AKK2" s="319"/>
      <c r="AKL2" s="319"/>
      <c r="AKM2" s="319"/>
      <c r="AKN2" s="319"/>
      <c r="AKO2" s="319" t="s">
        <v>329</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330</v>
      </c>
      <c r="ALN2" s="319" t="s">
        <v>331</v>
      </c>
      <c r="ALO2" s="319"/>
      <c r="ALP2" s="319"/>
      <c r="ALQ2" s="319"/>
      <c r="ALR2" s="319"/>
      <c r="ALS2" s="319"/>
      <c r="ALT2" s="319"/>
      <c r="ALU2" s="320" t="s">
        <v>152</v>
      </c>
      <c r="ALV2" s="320" t="s">
        <v>104</v>
      </c>
      <c r="ALW2" s="320" t="s">
        <v>153</v>
      </c>
      <c r="ALX2" s="320" t="s">
        <v>330</v>
      </c>
      <c r="ALY2" s="320" t="s">
        <v>331</v>
      </c>
      <c r="ALZ2" s="320" t="s">
        <v>332</v>
      </c>
      <c r="AMA2" s="320" t="s">
        <v>155</v>
      </c>
      <c r="AMB2" s="319" t="s">
        <v>333</v>
      </c>
      <c r="AMC2" s="319" t="s">
        <v>334</v>
      </c>
      <c r="AMD2" s="319" t="s">
        <v>335</v>
      </c>
      <c r="AME2" s="319" t="s">
        <v>336</v>
      </c>
      <c r="AMF2" s="319" t="s">
        <v>337</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326</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327</v>
      </c>
      <c r="ANZ2" s="319"/>
      <c r="AOA2" s="319"/>
      <c r="AOB2" s="319"/>
      <c r="AOC2" s="319"/>
      <c r="AOD2" s="319"/>
      <c r="AOE2" s="319"/>
      <c r="AOF2" s="319"/>
      <c r="AOG2" s="319"/>
      <c r="AOH2" s="319"/>
      <c r="AOI2" s="319"/>
      <c r="AOJ2" s="319"/>
      <c r="AOK2" s="319"/>
      <c r="AOL2" s="319"/>
      <c r="AOM2" s="319"/>
      <c r="AON2" s="319"/>
      <c r="AOO2" s="319"/>
      <c r="AOP2" s="319"/>
      <c r="AOQ2" s="319"/>
      <c r="AOR2" s="319"/>
      <c r="AOS2" s="319" t="s">
        <v>328</v>
      </c>
      <c r="AOT2" s="319"/>
      <c r="AOU2" s="319"/>
      <c r="AOV2" s="319"/>
      <c r="AOW2" s="319"/>
      <c r="AOX2" s="319"/>
      <c r="AOY2" s="319"/>
      <c r="AOZ2" s="319"/>
      <c r="APA2" s="319"/>
      <c r="APB2" s="319"/>
      <c r="APC2" s="319"/>
      <c r="APD2" s="319"/>
      <c r="APE2" s="319"/>
      <c r="APF2" s="319"/>
      <c r="APG2" s="319"/>
      <c r="APH2" s="319"/>
      <c r="API2" s="319"/>
      <c r="APJ2" s="319"/>
      <c r="APK2" s="319"/>
      <c r="APL2" s="319"/>
      <c r="APM2" s="319" t="s">
        <v>329</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330</v>
      </c>
      <c r="AQL2" s="319" t="s">
        <v>331</v>
      </c>
      <c r="AQM2" s="319"/>
      <c r="AQN2" s="319"/>
      <c r="AQO2" s="319"/>
      <c r="AQP2" s="319"/>
      <c r="AQQ2" s="319"/>
      <c r="AQR2" s="319"/>
      <c r="AQS2" s="320" t="s">
        <v>152</v>
      </c>
      <c r="AQT2" s="320" t="s">
        <v>104</v>
      </c>
      <c r="AQU2" s="320" t="s">
        <v>153</v>
      </c>
      <c r="AQV2" s="320" t="s">
        <v>330</v>
      </c>
      <c r="AQW2" s="320" t="s">
        <v>331</v>
      </c>
      <c r="AQX2" s="320" t="s">
        <v>332</v>
      </c>
      <c r="AQY2" s="320" t="s">
        <v>155</v>
      </c>
      <c r="AQZ2" s="319" t="s">
        <v>333</v>
      </c>
      <c r="ARA2" s="319" t="s">
        <v>334</v>
      </c>
      <c r="ARB2" s="319" t="s">
        <v>335</v>
      </c>
      <c r="ARC2" s="319" t="s">
        <v>336</v>
      </c>
      <c r="ARD2" s="319" t="s">
        <v>337</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326</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327</v>
      </c>
      <c r="ASX2" s="319"/>
      <c r="ASY2" s="319"/>
      <c r="ASZ2" s="319"/>
      <c r="ATA2" s="319"/>
      <c r="ATB2" s="319"/>
      <c r="ATC2" s="319"/>
      <c r="ATD2" s="319"/>
      <c r="ATE2" s="319"/>
      <c r="ATF2" s="319"/>
      <c r="ATG2" s="319"/>
      <c r="ATH2" s="319"/>
      <c r="ATI2" s="319"/>
      <c r="ATJ2" s="319"/>
      <c r="ATK2" s="319"/>
      <c r="ATL2" s="319"/>
      <c r="ATM2" s="319"/>
      <c r="ATN2" s="319"/>
      <c r="ATO2" s="319"/>
      <c r="ATP2" s="319"/>
      <c r="ATQ2" s="319" t="s">
        <v>328</v>
      </c>
      <c r="ATR2" s="319"/>
      <c r="ATS2" s="319"/>
      <c r="ATT2" s="319"/>
      <c r="ATU2" s="319"/>
      <c r="ATV2" s="319"/>
      <c r="ATW2" s="319"/>
      <c r="ATX2" s="319"/>
      <c r="ATY2" s="319"/>
      <c r="ATZ2" s="319"/>
      <c r="AUA2" s="319"/>
      <c r="AUB2" s="319"/>
      <c r="AUC2" s="319"/>
      <c r="AUD2" s="319"/>
      <c r="AUE2" s="319"/>
      <c r="AUF2" s="319"/>
      <c r="AUG2" s="319"/>
      <c r="AUH2" s="319"/>
      <c r="AUI2" s="319"/>
      <c r="AUJ2" s="319"/>
      <c r="AUK2" s="319" t="s">
        <v>329</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330</v>
      </c>
      <c r="AVJ2" s="319" t="s">
        <v>331</v>
      </c>
      <c r="AVK2" s="319"/>
      <c r="AVL2" s="319"/>
      <c r="AVM2" s="319"/>
      <c r="AVN2" s="319"/>
      <c r="AVO2" s="319"/>
      <c r="AVP2" s="319"/>
      <c r="AVQ2" s="320" t="s">
        <v>152</v>
      </c>
      <c r="AVR2" s="320" t="s">
        <v>104</v>
      </c>
      <c r="AVS2" s="320" t="s">
        <v>153</v>
      </c>
      <c r="AVT2" s="320" t="s">
        <v>330</v>
      </c>
      <c r="AVU2" s="320" t="s">
        <v>331</v>
      </c>
      <c r="AVV2" s="320" t="s">
        <v>332</v>
      </c>
      <c r="AVW2" s="320" t="s">
        <v>155</v>
      </c>
      <c r="AVX2" s="319" t="s">
        <v>333</v>
      </c>
      <c r="AVY2" s="319" t="s">
        <v>334</v>
      </c>
      <c r="AVZ2" s="319" t="s">
        <v>335</v>
      </c>
      <c r="AWA2" s="319" t="s">
        <v>336</v>
      </c>
      <c r="AWB2" s="319" t="s">
        <v>337</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326</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327</v>
      </c>
      <c r="AXV2" s="319"/>
      <c r="AXW2" s="319"/>
      <c r="AXX2" s="319"/>
      <c r="AXY2" s="319"/>
      <c r="AXZ2" s="319"/>
      <c r="AYA2" s="319"/>
      <c r="AYB2" s="319"/>
      <c r="AYC2" s="319"/>
      <c r="AYD2" s="319"/>
      <c r="AYE2" s="319"/>
      <c r="AYF2" s="319"/>
      <c r="AYG2" s="319"/>
      <c r="AYH2" s="319"/>
      <c r="AYI2" s="319"/>
      <c r="AYJ2" s="319"/>
      <c r="AYK2" s="319"/>
      <c r="AYL2" s="319"/>
      <c r="AYM2" s="319"/>
      <c r="AYN2" s="319"/>
      <c r="AYO2" s="319" t="s">
        <v>328</v>
      </c>
      <c r="AYP2" s="319"/>
      <c r="AYQ2" s="319"/>
      <c r="AYR2" s="319"/>
      <c r="AYS2" s="319"/>
      <c r="AYT2" s="319"/>
      <c r="AYU2" s="319"/>
      <c r="AYV2" s="319"/>
      <c r="AYW2" s="319"/>
      <c r="AYX2" s="319"/>
      <c r="AYY2" s="319"/>
      <c r="AYZ2" s="319"/>
      <c r="AZA2" s="319"/>
      <c r="AZB2" s="319"/>
      <c r="AZC2" s="319"/>
      <c r="AZD2" s="319"/>
      <c r="AZE2" s="319"/>
      <c r="AZF2" s="319"/>
      <c r="AZG2" s="319"/>
      <c r="AZH2" s="319"/>
      <c r="AZI2" s="319" t="s">
        <v>329</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330</v>
      </c>
      <c r="BAH2" s="319" t="s">
        <v>331</v>
      </c>
      <c r="BAI2" s="319"/>
      <c r="BAJ2" s="319"/>
      <c r="BAK2" s="319"/>
      <c r="BAL2" s="319"/>
      <c r="BAM2" s="319"/>
      <c r="BAN2" s="319"/>
      <c r="BAO2" s="320" t="s">
        <v>152</v>
      </c>
      <c r="BAP2" s="320" t="s">
        <v>104</v>
      </c>
      <c r="BAQ2" s="320" t="s">
        <v>153</v>
      </c>
      <c r="BAR2" s="320" t="s">
        <v>330</v>
      </c>
      <c r="BAS2" s="320" t="s">
        <v>331</v>
      </c>
      <c r="BAT2" s="320" t="s">
        <v>332</v>
      </c>
      <c r="BAU2" s="320" t="s">
        <v>155</v>
      </c>
      <c r="BAV2" s="319" t="s">
        <v>333</v>
      </c>
      <c r="BAW2" s="319" t="s">
        <v>334</v>
      </c>
      <c r="BAX2" s="319" t="s">
        <v>335</v>
      </c>
      <c r="BAY2" s="319" t="s">
        <v>336</v>
      </c>
      <c r="BAZ2" s="319" t="s">
        <v>337</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326</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327</v>
      </c>
      <c r="BCT2" s="319"/>
      <c r="BCU2" s="319"/>
      <c r="BCV2" s="319"/>
      <c r="BCW2" s="319"/>
      <c r="BCX2" s="319"/>
      <c r="BCY2" s="319"/>
      <c r="BCZ2" s="319"/>
      <c r="BDA2" s="319"/>
      <c r="BDB2" s="319"/>
      <c r="BDC2" s="319"/>
      <c r="BDD2" s="319"/>
      <c r="BDE2" s="319"/>
      <c r="BDF2" s="319"/>
      <c r="BDG2" s="319"/>
      <c r="BDH2" s="319"/>
      <c r="BDI2" s="319"/>
      <c r="BDJ2" s="319"/>
      <c r="BDK2" s="319"/>
      <c r="BDL2" s="319"/>
      <c r="BDM2" s="319" t="s">
        <v>328</v>
      </c>
      <c r="BDN2" s="319"/>
      <c r="BDO2" s="319"/>
      <c r="BDP2" s="319"/>
      <c r="BDQ2" s="319"/>
      <c r="BDR2" s="319"/>
      <c r="BDS2" s="319"/>
      <c r="BDT2" s="319"/>
      <c r="BDU2" s="319"/>
      <c r="BDV2" s="319"/>
      <c r="BDW2" s="319"/>
      <c r="BDX2" s="319"/>
      <c r="BDY2" s="319"/>
      <c r="BDZ2" s="319"/>
      <c r="BEA2" s="319"/>
      <c r="BEB2" s="319"/>
      <c r="BEC2" s="319"/>
      <c r="BED2" s="319"/>
      <c r="BEE2" s="319"/>
      <c r="BEF2" s="319"/>
      <c r="BEG2" s="319" t="s">
        <v>329</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330</v>
      </c>
      <c r="BFF2" s="319" t="s">
        <v>331</v>
      </c>
      <c r="BFG2" s="319"/>
      <c r="BFH2" s="319"/>
      <c r="BFI2" s="319"/>
      <c r="BFJ2" s="319"/>
      <c r="BFK2" s="319"/>
      <c r="BFL2" s="319"/>
      <c r="BFM2" s="320" t="s">
        <v>152</v>
      </c>
      <c r="BFN2" s="320" t="s">
        <v>104</v>
      </c>
      <c r="BFO2" s="320" t="s">
        <v>153</v>
      </c>
      <c r="BFP2" s="320" t="s">
        <v>330</v>
      </c>
      <c r="BFQ2" s="320" t="s">
        <v>331</v>
      </c>
      <c r="BFR2" s="320" t="s">
        <v>332</v>
      </c>
      <c r="BFS2" s="320" t="s">
        <v>155</v>
      </c>
      <c r="BFT2" s="319" t="s">
        <v>333</v>
      </c>
      <c r="BFU2" s="319" t="s">
        <v>334</v>
      </c>
      <c r="BFV2" s="319" t="s">
        <v>335</v>
      </c>
      <c r="BFW2" s="319" t="s">
        <v>336</v>
      </c>
      <c r="BFX2" s="319" t="s">
        <v>337</v>
      </c>
      <c r="BFY2" s="319"/>
      <c r="BFZ2" s="319"/>
      <c r="BGA2" s="319"/>
      <c r="BGB2" s="319"/>
    </row>
    <row r="3" spans="1:1536" ht="13.8" x14ac:dyDescent="0.3">
      <c r="A3" s="319"/>
      <c r="B3" s="319"/>
      <c r="C3" s="319" t="s">
        <v>152</v>
      </c>
      <c r="D3" s="319" t="s">
        <v>104</v>
      </c>
      <c r="E3" s="319" t="s">
        <v>153</v>
      </c>
      <c r="F3" s="319" t="s">
        <v>330</v>
      </c>
      <c r="G3" s="319" t="s">
        <v>331</v>
      </c>
      <c r="H3" s="319" t="s">
        <v>338</v>
      </c>
      <c r="I3" s="319" t="s">
        <v>260</v>
      </c>
      <c r="J3" s="319" t="s">
        <v>339</v>
      </c>
      <c r="K3" s="319" t="s">
        <v>340</v>
      </c>
      <c r="L3" s="319"/>
      <c r="M3" s="319" t="s">
        <v>341</v>
      </c>
      <c r="N3" s="319"/>
      <c r="O3" s="319"/>
      <c r="P3" s="319" t="s">
        <v>342</v>
      </c>
      <c r="Q3" s="319" t="s">
        <v>343</v>
      </c>
      <c r="R3" s="319" t="s">
        <v>344</v>
      </c>
      <c r="S3" s="319" t="s">
        <v>345</v>
      </c>
      <c r="T3" s="319"/>
      <c r="U3" s="319" t="s">
        <v>346</v>
      </c>
      <c r="V3" s="319" t="s">
        <v>152</v>
      </c>
      <c r="W3" s="319" t="s">
        <v>104</v>
      </c>
      <c r="X3" s="319" t="s">
        <v>153</v>
      </c>
      <c r="Y3" s="319" t="s">
        <v>330</v>
      </c>
      <c r="Z3" s="319" t="s">
        <v>331</v>
      </c>
      <c r="AA3" s="319" t="s">
        <v>338</v>
      </c>
      <c r="AB3" s="319" t="s">
        <v>151</v>
      </c>
      <c r="AC3" s="319" t="s">
        <v>347</v>
      </c>
      <c r="AD3" s="319" t="s">
        <v>348</v>
      </c>
      <c r="AE3" s="319" t="s">
        <v>333</v>
      </c>
      <c r="AF3" s="319" t="s">
        <v>155</v>
      </c>
      <c r="AG3" s="319" t="s">
        <v>349</v>
      </c>
      <c r="AH3" s="319" t="s">
        <v>332</v>
      </c>
      <c r="AI3" s="319" t="s">
        <v>330</v>
      </c>
      <c r="AJ3" s="319" t="s">
        <v>350</v>
      </c>
      <c r="AK3" s="319" t="s">
        <v>348</v>
      </c>
      <c r="AL3" s="319" t="s">
        <v>333</v>
      </c>
      <c r="AM3" s="319" t="s">
        <v>351</v>
      </c>
      <c r="AN3" s="319"/>
      <c r="AO3" s="319" t="s">
        <v>346</v>
      </c>
      <c r="AP3" s="319" t="s">
        <v>152</v>
      </c>
      <c r="AQ3" s="319" t="s">
        <v>104</v>
      </c>
      <c r="AR3" s="319" t="s">
        <v>153</v>
      </c>
      <c r="AS3" s="319" t="s">
        <v>330</v>
      </c>
      <c r="AT3" s="319" t="s">
        <v>331</v>
      </c>
      <c r="AU3" s="319" t="s">
        <v>338</v>
      </c>
      <c r="AV3" s="319" t="s">
        <v>151</v>
      </c>
      <c r="AW3" s="319" t="s">
        <v>347</v>
      </c>
      <c r="AX3" s="319" t="s">
        <v>348</v>
      </c>
      <c r="AY3" s="319" t="s">
        <v>333</v>
      </c>
      <c r="AZ3" s="319" t="s">
        <v>155</v>
      </c>
      <c r="BA3" s="319" t="s">
        <v>349</v>
      </c>
      <c r="BB3" s="319" t="s">
        <v>332</v>
      </c>
      <c r="BC3" s="319" t="s">
        <v>330</v>
      </c>
      <c r="BD3" s="319" t="s">
        <v>350</v>
      </c>
      <c r="BE3" s="319" t="s">
        <v>348</v>
      </c>
      <c r="BF3" s="319" t="s">
        <v>333</v>
      </c>
      <c r="BG3" s="319" t="s">
        <v>351</v>
      </c>
      <c r="BH3" s="319"/>
      <c r="BI3" s="319" t="s">
        <v>346</v>
      </c>
      <c r="BJ3" s="319" t="s">
        <v>152</v>
      </c>
      <c r="BK3" s="319" t="s">
        <v>104</v>
      </c>
      <c r="BL3" s="319" t="s">
        <v>153</v>
      </c>
      <c r="BM3" s="319" t="s">
        <v>330</v>
      </c>
      <c r="BN3" s="319" t="s">
        <v>331</v>
      </c>
      <c r="BO3" s="319" t="s">
        <v>338</v>
      </c>
      <c r="BP3" s="319" t="s">
        <v>151</v>
      </c>
      <c r="BQ3" s="319" t="s">
        <v>347</v>
      </c>
      <c r="BR3" s="319" t="s">
        <v>348</v>
      </c>
      <c r="BS3" s="319" t="s">
        <v>333</v>
      </c>
      <c r="BT3" s="319" t="s">
        <v>155</v>
      </c>
      <c r="BU3" s="319" t="s">
        <v>349</v>
      </c>
      <c r="BV3" s="319" t="s">
        <v>332</v>
      </c>
      <c r="BW3" s="319" t="s">
        <v>330</v>
      </c>
      <c r="BX3" s="319" t="s">
        <v>347</v>
      </c>
      <c r="BY3" s="319" t="s">
        <v>348</v>
      </c>
      <c r="BZ3" s="319" t="s">
        <v>333</v>
      </c>
      <c r="CA3" s="319" t="s">
        <v>351</v>
      </c>
      <c r="CB3" s="319"/>
      <c r="CC3" s="319" t="s">
        <v>346</v>
      </c>
      <c r="CD3" s="319" t="s">
        <v>152</v>
      </c>
      <c r="CE3" s="319" t="s">
        <v>104</v>
      </c>
      <c r="CF3" s="319" t="s">
        <v>153</v>
      </c>
      <c r="CG3" s="319" t="s">
        <v>330</v>
      </c>
      <c r="CH3" s="319" t="s">
        <v>331</v>
      </c>
      <c r="CI3" s="319" t="s">
        <v>338</v>
      </c>
      <c r="CJ3" s="319" t="s">
        <v>151</v>
      </c>
      <c r="CK3" s="319" t="s">
        <v>347</v>
      </c>
      <c r="CL3" s="319" t="s">
        <v>348</v>
      </c>
      <c r="CM3" s="319" t="s">
        <v>333</v>
      </c>
      <c r="CN3" s="319" t="s">
        <v>155</v>
      </c>
      <c r="CO3" s="319" t="s">
        <v>349</v>
      </c>
      <c r="CP3" s="319" t="s">
        <v>332</v>
      </c>
      <c r="CQ3" s="319" t="s">
        <v>330</v>
      </c>
      <c r="CR3" s="319" t="s">
        <v>347</v>
      </c>
      <c r="CS3" s="319" t="s">
        <v>348</v>
      </c>
      <c r="CT3" s="319" t="s">
        <v>333</v>
      </c>
      <c r="CU3" s="319" t="s">
        <v>351</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4</v>
      </c>
      <c r="DR3" s="319">
        <f>SUMPRODUCT((DQ3:DQ8=DQ3)*(DN3:DN8&gt;DN3))</f>
        <v>1</v>
      </c>
      <c r="DS3" s="319">
        <f>SUMPRODUCT((DQ3:DQ8=DQ3)*(DN3:DN8=DN3)*(DL3:DL8&gt;DL3))</f>
        <v>0</v>
      </c>
      <c r="DT3" s="319">
        <f>SUMPRODUCT((DQ3:DQ8=DQ3)*(DN3:DN8=DN3)*(DL3:DL8=DL3)*(DP3:DP8&gt;DP3))</f>
        <v>0</v>
      </c>
      <c r="DU3" s="319">
        <f>IF('Player Scoreboard'!B20="© 2024 | journalSHEET.com",SUM(DQ3:DT3),1)</f>
        <v>5</v>
      </c>
      <c r="DV3" s="319" t="s">
        <v>101</v>
      </c>
      <c r="DW3" s="319">
        <v>1</v>
      </c>
      <c r="DX3" s="319"/>
      <c r="DY3" s="319"/>
      <c r="DZ3" s="319"/>
      <c r="EA3" s="319" t="s">
        <v>152</v>
      </c>
      <c r="EB3" s="319" t="s">
        <v>104</v>
      </c>
      <c r="EC3" s="319" t="s">
        <v>153</v>
      </c>
      <c r="ED3" s="319" t="s">
        <v>330</v>
      </c>
      <c r="EE3" s="319" t="s">
        <v>331</v>
      </c>
      <c r="EF3" s="319" t="s">
        <v>338</v>
      </c>
      <c r="EG3" s="319" t="s">
        <v>260</v>
      </c>
      <c r="EH3" s="319" t="s">
        <v>339</v>
      </c>
      <c r="EI3" s="319" t="s">
        <v>340</v>
      </c>
      <c r="EJ3" s="319"/>
      <c r="EK3" s="319" t="s">
        <v>341</v>
      </c>
      <c r="EL3" s="319"/>
      <c r="EM3" s="319"/>
      <c r="EN3" s="319" t="s">
        <v>342</v>
      </c>
      <c r="EO3" s="319" t="s">
        <v>343</v>
      </c>
      <c r="EP3" s="319" t="s">
        <v>344</v>
      </c>
      <c r="EQ3" s="319" t="s">
        <v>345</v>
      </c>
      <c r="ER3" s="319"/>
      <c r="ES3" s="319" t="s">
        <v>346</v>
      </c>
      <c r="ET3" s="319" t="s">
        <v>152</v>
      </c>
      <c r="EU3" s="319" t="s">
        <v>104</v>
      </c>
      <c r="EV3" s="319" t="s">
        <v>153</v>
      </c>
      <c r="EW3" s="319" t="s">
        <v>330</v>
      </c>
      <c r="EX3" s="319" t="s">
        <v>331</v>
      </c>
      <c r="EY3" s="319" t="s">
        <v>338</v>
      </c>
      <c r="EZ3" s="319" t="s">
        <v>151</v>
      </c>
      <c r="FA3" s="319" t="s">
        <v>347</v>
      </c>
      <c r="FB3" s="319" t="s">
        <v>348</v>
      </c>
      <c r="FC3" s="319" t="s">
        <v>333</v>
      </c>
      <c r="FD3" s="319" t="s">
        <v>155</v>
      </c>
      <c r="FE3" s="319" t="s">
        <v>349</v>
      </c>
      <c r="FF3" s="319" t="s">
        <v>332</v>
      </c>
      <c r="FG3" s="319" t="s">
        <v>330</v>
      </c>
      <c r="FH3" s="319" t="s">
        <v>350</v>
      </c>
      <c r="FI3" s="319" t="s">
        <v>348</v>
      </c>
      <c r="FJ3" s="319" t="s">
        <v>333</v>
      </c>
      <c r="FK3" s="319" t="s">
        <v>351</v>
      </c>
      <c r="FL3" s="319"/>
      <c r="FM3" s="319" t="s">
        <v>346</v>
      </c>
      <c r="FN3" s="319" t="s">
        <v>152</v>
      </c>
      <c r="FO3" s="319" t="s">
        <v>104</v>
      </c>
      <c r="FP3" s="319" t="s">
        <v>153</v>
      </c>
      <c r="FQ3" s="319" t="s">
        <v>330</v>
      </c>
      <c r="FR3" s="319" t="s">
        <v>331</v>
      </c>
      <c r="FS3" s="319" t="s">
        <v>338</v>
      </c>
      <c r="FT3" s="319" t="s">
        <v>151</v>
      </c>
      <c r="FU3" s="319" t="s">
        <v>347</v>
      </c>
      <c r="FV3" s="319" t="s">
        <v>348</v>
      </c>
      <c r="FW3" s="319" t="s">
        <v>333</v>
      </c>
      <c r="FX3" s="319" t="s">
        <v>155</v>
      </c>
      <c r="FY3" s="319" t="s">
        <v>349</v>
      </c>
      <c r="FZ3" s="319" t="s">
        <v>332</v>
      </c>
      <c r="GA3" s="319" t="s">
        <v>330</v>
      </c>
      <c r="GB3" s="319" t="s">
        <v>350</v>
      </c>
      <c r="GC3" s="319" t="s">
        <v>348</v>
      </c>
      <c r="GD3" s="319" t="s">
        <v>333</v>
      </c>
      <c r="GE3" s="319" t="s">
        <v>351</v>
      </c>
      <c r="GF3" s="319"/>
      <c r="GG3" s="319" t="s">
        <v>346</v>
      </c>
      <c r="GH3" s="319" t="s">
        <v>152</v>
      </c>
      <c r="GI3" s="319" t="s">
        <v>104</v>
      </c>
      <c r="GJ3" s="319" t="s">
        <v>153</v>
      </c>
      <c r="GK3" s="319" t="s">
        <v>330</v>
      </c>
      <c r="GL3" s="319" t="s">
        <v>331</v>
      </c>
      <c r="GM3" s="319" t="s">
        <v>338</v>
      </c>
      <c r="GN3" s="319" t="s">
        <v>151</v>
      </c>
      <c r="GO3" s="319" t="s">
        <v>347</v>
      </c>
      <c r="GP3" s="319" t="s">
        <v>348</v>
      </c>
      <c r="GQ3" s="319" t="s">
        <v>333</v>
      </c>
      <c r="GR3" s="319" t="s">
        <v>155</v>
      </c>
      <c r="GS3" s="319" t="s">
        <v>349</v>
      </c>
      <c r="GT3" s="319" t="s">
        <v>332</v>
      </c>
      <c r="GU3" s="319" t="s">
        <v>330</v>
      </c>
      <c r="GV3" s="319" t="s">
        <v>347</v>
      </c>
      <c r="GW3" s="319" t="s">
        <v>348</v>
      </c>
      <c r="GX3" s="319" t="s">
        <v>333</v>
      </c>
      <c r="GY3" s="319" t="s">
        <v>351</v>
      </c>
      <c r="GZ3" s="319"/>
      <c r="HA3" s="319" t="s">
        <v>346</v>
      </c>
      <c r="HB3" s="319" t="s">
        <v>152</v>
      </c>
      <c r="HC3" s="319" t="s">
        <v>104</v>
      </c>
      <c r="HD3" s="319" t="s">
        <v>153</v>
      </c>
      <c r="HE3" s="319" t="s">
        <v>330</v>
      </c>
      <c r="HF3" s="319" t="s">
        <v>331</v>
      </c>
      <c r="HG3" s="319" t="s">
        <v>338</v>
      </c>
      <c r="HH3" s="319" t="s">
        <v>151</v>
      </c>
      <c r="HI3" s="319" t="s">
        <v>347</v>
      </c>
      <c r="HJ3" s="319" t="s">
        <v>348</v>
      </c>
      <c r="HK3" s="319" t="s">
        <v>333</v>
      </c>
      <c r="HL3" s="319" t="s">
        <v>155</v>
      </c>
      <c r="HM3" s="319" t="s">
        <v>349</v>
      </c>
      <c r="HN3" s="319" t="s">
        <v>332</v>
      </c>
      <c r="HO3" s="319" t="s">
        <v>330</v>
      </c>
      <c r="HP3" s="319" t="s">
        <v>347</v>
      </c>
      <c r="HQ3" s="319" t="s">
        <v>348</v>
      </c>
      <c r="HR3" s="319" t="s">
        <v>333</v>
      </c>
      <c r="HS3" s="319" t="s">
        <v>351</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6</v>
      </c>
      <c r="IK3" s="320">
        <f ca="1">VLOOKUP(IF3,DZ4:EE40,6,FALSE)</f>
        <v>6</v>
      </c>
      <c r="IL3" s="320">
        <f ca="1">IJ3-IK3+1000</f>
        <v>1000</v>
      </c>
      <c r="IM3" s="320">
        <f ca="1">IG3*3+IH3*1</f>
        <v>4</v>
      </c>
      <c r="IN3" s="319">
        <f ca="1">VLOOKUP(IF3,B4:J40,9,FALSE)</f>
        <v>43</v>
      </c>
      <c r="IO3" s="319">
        <f ca="1">RANK(IM3,IM3:IM8)</f>
        <v>1</v>
      </c>
      <c r="IP3" s="319">
        <f ca="1">SUMPRODUCT((IO3:IO8=IO3)*(IL3:IL8&gt;IL3))</f>
        <v>0</v>
      </c>
      <c r="IQ3" s="319">
        <f ca="1">SUMPRODUCT((IO3:IO8=IO3)*(IL3:IL8=IL3)*(IJ3:IJ8&gt;IJ3))</f>
        <v>0</v>
      </c>
      <c r="IR3" s="319">
        <f ca="1">SUMPRODUCT((IO3:IO8=IO3)*(IL3:IL8=IL3)*(IJ3:IJ8=IJ3)*(IN3:IN8&gt;IN3))</f>
        <v>0</v>
      </c>
      <c r="IS3" s="319">
        <f ca="1">SUM(IO3:IR3)</f>
        <v>1</v>
      </c>
      <c r="IT3" s="319" t="s">
        <v>101</v>
      </c>
      <c r="IU3" s="319">
        <v>1</v>
      </c>
      <c r="IV3" s="319"/>
      <c r="IW3" s="319"/>
      <c r="IX3" s="319"/>
      <c r="IY3" s="319" t="s">
        <v>152</v>
      </c>
      <c r="IZ3" s="319" t="s">
        <v>104</v>
      </c>
      <c r="JA3" s="319" t="s">
        <v>153</v>
      </c>
      <c r="JB3" s="319" t="s">
        <v>330</v>
      </c>
      <c r="JC3" s="319" t="s">
        <v>331</v>
      </c>
      <c r="JD3" s="319" t="s">
        <v>338</v>
      </c>
      <c r="JE3" s="319" t="s">
        <v>260</v>
      </c>
      <c r="JF3" s="319" t="s">
        <v>339</v>
      </c>
      <c r="JG3" s="319" t="s">
        <v>340</v>
      </c>
      <c r="JH3" s="319"/>
      <c r="JI3" s="319" t="s">
        <v>341</v>
      </c>
      <c r="JJ3" s="319"/>
      <c r="JK3" s="319"/>
      <c r="JL3" s="319" t="s">
        <v>342</v>
      </c>
      <c r="JM3" s="319" t="s">
        <v>343</v>
      </c>
      <c r="JN3" s="319" t="s">
        <v>344</v>
      </c>
      <c r="JO3" s="319" t="s">
        <v>345</v>
      </c>
      <c r="JP3" s="319"/>
      <c r="JQ3" s="319" t="s">
        <v>346</v>
      </c>
      <c r="JR3" s="319" t="s">
        <v>152</v>
      </c>
      <c r="JS3" s="319" t="s">
        <v>104</v>
      </c>
      <c r="JT3" s="319" t="s">
        <v>153</v>
      </c>
      <c r="JU3" s="319" t="s">
        <v>330</v>
      </c>
      <c r="JV3" s="319" t="s">
        <v>331</v>
      </c>
      <c r="JW3" s="319" t="s">
        <v>338</v>
      </c>
      <c r="JX3" s="319" t="s">
        <v>151</v>
      </c>
      <c r="JY3" s="319" t="s">
        <v>347</v>
      </c>
      <c r="JZ3" s="319" t="s">
        <v>348</v>
      </c>
      <c r="KA3" s="319" t="s">
        <v>333</v>
      </c>
      <c r="KB3" s="319" t="s">
        <v>155</v>
      </c>
      <c r="KC3" s="319" t="s">
        <v>349</v>
      </c>
      <c r="KD3" s="319" t="s">
        <v>332</v>
      </c>
      <c r="KE3" s="319" t="s">
        <v>330</v>
      </c>
      <c r="KF3" s="319" t="s">
        <v>350</v>
      </c>
      <c r="KG3" s="319" t="s">
        <v>348</v>
      </c>
      <c r="KH3" s="319" t="s">
        <v>333</v>
      </c>
      <c r="KI3" s="319" t="s">
        <v>351</v>
      </c>
      <c r="KJ3" s="319"/>
      <c r="KK3" s="319" t="s">
        <v>346</v>
      </c>
      <c r="KL3" s="319" t="s">
        <v>152</v>
      </c>
      <c r="KM3" s="319" t="s">
        <v>104</v>
      </c>
      <c r="KN3" s="319" t="s">
        <v>153</v>
      </c>
      <c r="KO3" s="319" t="s">
        <v>330</v>
      </c>
      <c r="KP3" s="319" t="s">
        <v>331</v>
      </c>
      <c r="KQ3" s="319" t="s">
        <v>338</v>
      </c>
      <c r="KR3" s="319" t="s">
        <v>151</v>
      </c>
      <c r="KS3" s="319" t="s">
        <v>347</v>
      </c>
      <c r="KT3" s="319" t="s">
        <v>348</v>
      </c>
      <c r="KU3" s="319" t="s">
        <v>333</v>
      </c>
      <c r="KV3" s="319" t="s">
        <v>155</v>
      </c>
      <c r="KW3" s="319" t="s">
        <v>349</v>
      </c>
      <c r="KX3" s="319" t="s">
        <v>332</v>
      </c>
      <c r="KY3" s="319" t="s">
        <v>330</v>
      </c>
      <c r="KZ3" s="319" t="s">
        <v>350</v>
      </c>
      <c r="LA3" s="319" t="s">
        <v>348</v>
      </c>
      <c r="LB3" s="319" t="s">
        <v>333</v>
      </c>
      <c r="LC3" s="319" t="s">
        <v>351</v>
      </c>
      <c r="LD3" s="319"/>
      <c r="LE3" s="319" t="s">
        <v>346</v>
      </c>
      <c r="LF3" s="319" t="s">
        <v>152</v>
      </c>
      <c r="LG3" s="319" t="s">
        <v>104</v>
      </c>
      <c r="LH3" s="319" t="s">
        <v>153</v>
      </c>
      <c r="LI3" s="319" t="s">
        <v>330</v>
      </c>
      <c r="LJ3" s="319" t="s">
        <v>331</v>
      </c>
      <c r="LK3" s="319" t="s">
        <v>338</v>
      </c>
      <c r="LL3" s="319" t="s">
        <v>151</v>
      </c>
      <c r="LM3" s="319" t="s">
        <v>347</v>
      </c>
      <c r="LN3" s="319" t="s">
        <v>348</v>
      </c>
      <c r="LO3" s="319" t="s">
        <v>333</v>
      </c>
      <c r="LP3" s="319" t="s">
        <v>155</v>
      </c>
      <c r="LQ3" s="319" t="s">
        <v>349</v>
      </c>
      <c r="LR3" s="319" t="s">
        <v>332</v>
      </c>
      <c r="LS3" s="319" t="s">
        <v>330</v>
      </c>
      <c r="LT3" s="319" t="s">
        <v>347</v>
      </c>
      <c r="LU3" s="319" t="s">
        <v>348</v>
      </c>
      <c r="LV3" s="319" t="s">
        <v>333</v>
      </c>
      <c r="LW3" s="319" t="s">
        <v>351</v>
      </c>
      <c r="LX3" s="319"/>
      <c r="LY3" s="319" t="s">
        <v>346</v>
      </c>
      <c r="LZ3" s="319" t="s">
        <v>152</v>
      </c>
      <c r="MA3" s="319" t="s">
        <v>104</v>
      </c>
      <c r="MB3" s="319" t="s">
        <v>153</v>
      </c>
      <c r="MC3" s="319" t="s">
        <v>330</v>
      </c>
      <c r="MD3" s="319" t="s">
        <v>331</v>
      </c>
      <c r="ME3" s="319" t="s">
        <v>338</v>
      </c>
      <c r="MF3" s="319" t="s">
        <v>151</v>
      </c>
      <c r="MG3" s="319" t="s">
        <v>347</v>
      </c>
      <c r="MH3" s="319" t="s">
        <v>348</v>
      </c>
      <c r="MI3" s="319" t="s">
        <v>333</v>
      </c>
      <c r="MJ3" s="319" t="s">
        <v>155</v>
      </c>
      <c r="MK3" s="319" t="s">
        <v>349</v>
      </c>
      <c r="ML3" s="319" t="s">
        <v>332</v>
      </c>
      <c r="MM3" s="319" t="s">
        <v>330</v>
      </c>
      <c r="MN3" s="319" t="s">
        <v>347</v>
      </c>
      <c r="MO3" s="319" t="s">
        <v>348</v>
      </c>
      <c r="MP3" s="319" t="s">
        <v>333</v>
      </c>
      <c r="MQ3" s="319" t="s">
        <v>351</v>
      </c>
      <c r="MR3" s="319"/>
      <c r="MS3" s="319"/>
      <c r="MT3" s="319"/>
      <c r="MU3" s="319">
        <v>1</v>
      </c>
      <c r="MV3" s="319" t="str">
        <f>HX3</f>
        <v>Germany</v>
      </c>
      <c r="MW3" s="322">
        <f ca="1">IF(OFFSET('Player Game Board'!P10,0,MW1)&lt;&gt;"",OFFSET('Player Game Board'!P10,0,MW1),0)</f>
        <v>3</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0</v>
      </c>
      <c r="NF3" s="320">
        <f ca="1">VLOOKUP(ND3,IX4:JC40,3,FALSE)</f>
        <v>3</v>
      </c>
      <c r="NG3" s="320">
        <f ca="1">VLOOKUP(ND3,IX4:JC40,4,FALSE)</f>
        <v>0</v>
      </c>
      <c r="NH3" s="320">
        <f ca="1">VLOOKUP(ND3,IX4:JC40,5,FALSE)</f>
        <v>3</v>
      </c>
      <c r="NI3" s="320">
        <f ca="1">VLOOKUP(ND3,IX4:JC40,6,FALSE)</f>
        <v>3</v>
      </c>
      <c r="NJ3" s="320">
        <f ca="1">NH3-NI3+1000</f>
        <v>1000</v>
      </c>
      <c r="NK3" s="320">
        <f ca="1">NE3*3+NF3*1</f>
        <v>3</v>
      </c>
      <c r="NL3" s="319">
        <f ca="1">VLOOKUP(ND3,B4:J40,9,FALSE)</f>
        <v>48</v>
      </c>
      <c r="NM3" s="319">
        <f ca="1">RANK(NK3,NK3:NK8)</f>
        <v>2</v>
      </c>
      <c r="NN3" s="319">
        <f ca="1">SUMPRODUCT((NM3:NM8=NM3)*(NJ3:NJ8&gt;NJ3))</f>
        <v>0</v>
      </c>
      <c r="NO3" s="319">
        <f ca="1">SUMPRODUCT((NM3:NM8=NM3)*(NJ3:NJ8=NJ3)*(NH3:NH8&gt;NH3))</f>
        <v>0</v>
      </c>
      <c r="NP3" s="319">
        <f ca="1">SUMPRODUCT((NM3:NM8=NM3)*(NJ3:NJ8=NJ3)*(NH3:NH8=NH3)*(NL3:NL8&gt;NL3))</f>
        <v>0</v>
      </c>
      <c r="NQ3" s="319">
        <f ca="1">SUM(NM3:NP3)</f>
        <v>2</v>
      </c>
      <c r="NR3" s="319" t="s">
        <v>101</v>
      </c>
      <c r="NS3" s="319">
        <v>1</v>
      </c>
      <c r="NT3" s="319"/>
      <c r="NU3" s="319"/>
      <c r="NV3" s="319"/>
      <c r="NW3" s="319" t="s">
        <v>152</v>
      </c>
      <c r="NX3" s="319" t="s">
        <v>104</v>
      </c>
      <c r="NY3" s="319" t="s">
        <v>153</v>
      </c>
      <c r="NZ3" s="319" t="s">
        <v>330</v>
      </c>
      <c r="OA3" s="319" t="s">
        <v>331</v>
      </c>
      <c r="OB3" s="319" t="s">
        <v>338</v>
      </c>
      <c r="OC3" s="319" t="s">
        <v>260</v>
      </c>
      <c r="OD3" s="319" t="s">
        <v>339</v>
      </c>
      <c r="OE3" s="319" t="s">
        <v>340</v>
      </c>
      <c r="OF3" s="319"/>
      <c r="OG3" s="319" t="s">
        <v>341</v>
      </c>
      <c r="OH3" s="319"/>
      <c r="OI3" s="319"/>
      <c r="OJ3" s="319" t="s">
        <v>342</v>
      </c>
      <c r="OK3" s="319" t="s">
        <v>343</v>
      </c>
      <c r="OL3" s="319" t="s">
        <v>344</v>
      </c>
      <c r="OM3" s="319" t="s">
        <v>345</v>
      </c>
      <c r="ON3" s="319"/>
      <c r="OO3" s="319" t="s">
        <v>346</v>
      </c>
      <c r="OP3" s="319" t="s">
        <v>152</v>
      </c>
      <c r="OQ3" s="319" t="s">
        <v>104</v>
      </c>
      <c r="OR3" s="319" t="s">
        <v>153</v>
      </c>
      <c r="OS3" s="319" t="s">
        <v>330</v>
      </c>
      <c r="OT3" s="319" t="s">
        <v>331</v>
      </c>
      <c r="OU3" s="319" t="s">
        <v>338</v>
      </c>
      <c r="OV3" s="319" t="s">
        <v>151</v>
      </c>
      <c r="OW3" s="319" t="s">
        <v>347</v>
      </c>
      <c r="OX3" s="319" t="s">
        <v>348</v>
      </c>
      <c r="OY3" s="319" t="s">
        <v>333</v>
      </c>
      <c r="OZ3" s="319" t="s">
        <v>155</v>
      </c>
      <c r="PA3" s="319" t="s">
        <v>349</v>
      </c>
      <c r="PB3" s="319" t="s">
        <v>332</v>
      </c>
      <c r="PC3" s="319" t="s">
        <v>330</v>
      </c>
      <c r="PD3" s="319" t="s">
        <v>350</v>
      </c>
      <c r="PE3" s="319" t="s">
        <v>348</v>
      </c>
      <c r="PF3" s="319" t="s">
        <v>333</v>
      </c>
      <c r="PG3" s="319" t="s">
        <v>351</v>
      </c>
      <c r="PH3" s="319"/>
      <c r="PI3" s="319" t="s">
        <v>346</v>
      </c>
      <c r="PJ3" s="319" t="s">
        <v>152</v>
      </c>
      <c r="PK3" s="319" t="s">
        <v>104</v>
      </c>
      <c r="PL3" s="319" t="s">
        <v>153</v>
      </c>
      <c r="PM3" s="319" t="s">
        <v>330</v>
      </c>
      <c r="PN3" s="319" t="s">
        <v>331</v>
      </c>
      <c r="PO3" s="319" t="s">
        <v>338</v>
      </c>
      <c r="PP3" s="319" t="s">
        <v>151</v>
      </c>
      <c r="PQ3" s="319" t="s">
        <v>347</v>
      </c>
      <c r="PR3" s="319" t="s">
        <v>348</v>
      </c>
      <c r="PS3" s="319" t="s">
        <v>333</v>
      </c>
      <c r="PT3" s="319" t="s">
        <v>155</v>
      </c>
      <c r="PU3" s="319" t="s">
        <v>349</v>
      </c>
      <c r="PV3" s="319" t="s">
        <v>332</v>
      </c>
      <c r="PW3" s="319" t="s">
        <v>330</v>
      </c>
      <c r="PX3" s="319" t="s">
        <v>350</v>
      </c>
      <c r="PY3" s="319" t="s">
        <v>348</v>
      </c>
      <c r="PZ3" s="319" t="s">
        <v>333</v>
      </c>
      <c r="QA3" s="319" t="s">
        <v>351</v>
      </c>
      <c r="QB3" s="319"/>
      <c r="QC3" s="319" t="s">
        <v>346</v>
      </c>
      <c r="QD3" s="319" t="s">
        <v>152</v>
      </c>
      <c r="QE3" s="319" t="s">
        <v>104</v>
      </c>
      <c r="QF3" s="319" t="s">
        <v>153</v>
      </c>
      <c r="QG3" s="319" t="s">
        <v>330</v>
      </c>
      <c r="QH3" s="319" t="s">
        <v>331</v>
      </c>
      <c r="QI3" s="319" t="s">
        <v>338</v>
      </c>
      <c r="QJ3" s="319" t="s">
        <v>151</v>
      </c>
      <c r="QK3" s="319" t="s">
        <v>347</v>
      </c>
      <c r="QL3" s="319" t="s">
        <v>348</v>
      </c>
      <c r="QM3" s="319" t="s">
        <v>333</v>
      </c>
      <c r="QN3" s="319" t="s">
        <v>155</v>
      </c>
      <c r="QO3" s="319" t="s">
        <v>349</v>
      </c>
      <c r="QP3" s="319" t="s">
        <v>332</v>
      </c>
      <c r="QQ3" s="319" t="s">
        <v>330</v>
      </c>
      <c r="QR3" s="319" t="s">
        <v>347</v>
      </c>
      <c r="QS3" s="319" t="s">
        <v>348</v>
      </c>
      <c r="QT3" s="319" t="s">
        <v>333</v>
      </c>
      <c r="QU3" s="319" t="s">
        <v>351</v>
      </c>
      <c r="QV3" s="319"/>
      <c r="QW3" s="319" t="s">
        <v>346</v>
      </c>
      <c r="QX3" s="319" t="s">
        <v>152</v>
      </c>
      <c r="QY3" s="319" t="s">
        <v>104</v>
      </c>
      <c r="QZ3" s="319" t="s">
        <v>153</v>
      </c>
      <c r="RA3" s="319" t="s">
        <v>330</v>
      </c>
      <c r="RB3" s="319" t="s">
        <v>331</v>
      </c>
      <c r="RC3" s="319" t="s">
        <v>338</v>
      </c>
      <c r="RD3" s="319" t="s">
        <v>151</v>
      </c>
      <c r="RE3" s="319" t="s">
        <v>347</v>
      </c>
      <c r="RF3" s="319" t="s">
        <v>348</v>
      </c>
      <c r="RG3" s="319" t="s">
        <v>333</v>
      </c>
      <c r="RH3" s="319" t="s">
        <v>155</v>
      </c>
      <c r="RI3" s="319" t="s">
        <v>349</v>
      </c>
      <c r="RJ3" s="319" t="s">
        <v>332</v>
      </c>
      <c r="RK3" s="319" t="s">
        <v>330</v>
      </c>
      <c r="RL3" s="319" t="s">
        <v>347</v>
      </c>
      <c r="RM3" s="319" t="s">
        <v>348</v>
      </c>
      <c r="RN3" s="319" t="s">
        <v>333</v>
      </c>
      <c r="RO3" s="319" t="s">
        <v>351</v>
      </c>
      <c r="RP3" s="319"/>
      <c r="RQ3" s="319"/>
      <c r="RR3" s="319"/>
      <c r="RS3" s="319">
        <v>1</v>
      </c>
      <c r="RT3" s="319" t="str">
        <f t="shared" ref="RT3:RT38" si="18">MV3</f>
        <v>Germany</v>
      </c>
      <c r="RU3" s="322">
        <f ca="1">IF(OFFSET('Player Game Board'!P10,0,RU1)&lt;&gt;"",OFFSET('Player Game Board'!P10,0,RU1),0)</f>
        <v>3</v>
      </c>
      <c r="RV3" s="322">
        <f ca="1">IF(OFFSET('Player Game Board'!Q10,0,RU1)&lt;&gt;"",OFFSET('Player Game Board'!Q10,0,RU1),0)</f>
        <v>0</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Scotland</v>
      </c>
      <c r="SC3" s="320">
        <f t="shared" ref="SC3" ca="1" si="22">VLOOKUP(SB3,NV4:OA40,2,FALSE)</f>
        <v>0</v>
      </c>
      <c r="SD3" s="320">
        <f t="shared" ref="SD3" ca="1" si="23">VLOOKUP(SB3,NV4:OA40,3,FALSE)</f>
        <v>1</v>
      </c>
      <c r="SE3" s="320">
        <f t="shared" ref="SE3" ca="1" si="24">VLOOKUP(SB3,NV4:OA40,4,FALSE)</f>
        <v>2</v>
      </c>
      <c r="SF3" s="320">
        <f t="shared" ref="SF3" ca="1" si="25">VLOOKUP(SB3,NV4:OA40,5,FALSE)</f>
        <v>0</v>
      </c>
      <c r="SG3" s="320">
        <f t="shared" ref="SG3" ca="1" si="26">VLOOKUP(SB3,NV4:OA40,6,FALSE)</f>
        <v>4</v>
      </c>
      <c r="SH3" s="320">
        <f t="shared" ref="SH3:SH8" ca="1" si="27">SF3-SG3+1000</f>
        <v>996</v>
      </c>
      <c r="SI3" s="320">
        <f t="shared" ref="SI3:SI8" ca="1" si="28">SC3*3+SD3*1</f>
        <v>1</v>
      </c>
      <c r="SJ3" s="319">
        <f ca="1">VLOOKUP(SB3,B4:J40,9,FALSE)</f>
        <v>43</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101</v>
      </c>
      <c r="SQ3" s="319">
        <v>1</v>
      </c>
      <c r="SR3" s="319"/>
      <c r="SS3" s="319"/>
      <c r="ST3" s="319"/>
      <c r="SU3" s="319" t="s">
        <v>152</v>
      </c>
      <c r="SV3" s="319" t="s">
        <v>104</v>
      </c>
      <c r="SW3" s="319" t="s">
        <v>153</v>
      </c>
      <c r="SX3" s="319" t="s">
        <v>330</v>
      </c>
      <c r="SY3" s="319" t="s">
        <v>331</v>
      </c>
      <c r="SZ3" s="319" t="s">
        <v>338</v>
      </c>
      <c r="TA3" s="319" t="s">
        <v>260</v>
      </c>
      <c r="TB3" s="319" t="s">
        <v>339</v>
      </c>
      <c r="TC3" s="319" t="s">
        <v>340</v>
      </c>
      <c r="TD3" s="319"/>
      <c r="TE3" s="319" t="s">
        <v>341</v>
      </c>
      <c r="TF3" s="319"/>
      <c r="TG3" s="319"/>
      <c r="TH3" s="319" t="s">
        <v>342</v>
      </c>
      <c r="TI3" s="319" t="s">
        <v>343</v>
      </c>
      <c r="TJ3" s="319" t="s">
        <v>344</v>
      </c>
      <c r="TK3" s="319" t="s">
        <v>345</v>
      </c>
      <c r="TL3" s="319"/>
      <c r="TM3" s="319" t="s">
        <v>346</v>
      </c>
      <c r="TN3" s="319" t="s">
        <v>152</v>
      </c>
      <c r="TO3" s="319" t="s">
        <v>104</v>
      </c>
      <c r="TP3" s="319" t="s">
        <v>153</v>
      </c>
      <c r="TQ3" s="319" t="s">
        <v>330</v>
      </c>
      <c r="TR3" s="319" t="s">
        <v>331</v>
      </c>
      <c r="TS3" s="319" t="s">
        <v>338</v>
      </c>
      <c r="TT3" s="319" t="s">
        <v>151</v>
      </c>
      <c r="TU3" s="319" t="s">
        <v>347</v>
      </c>
      <c r="TV3" s="319" t="s">
        <v>348</v>
      </c>
      <c r="TW3" s="319" t="s">
        <v>333</v>
      </c>
      <c r="TX3" s="319" t="s">
        <v>155</v>
      </c>
      <c r="TY3" s="319" t="s">
        <v>349</v>
      </c>
      <c r="TZ3" s="319" t="s">
        <v>332</v>
      </c>
      <c r="UA3" s="319" t="s">
        <v>330</v>
      </c>
      <c r="UB3" s="319" t="s">
        <v>350</v>
      </c>
      <c r="UC3" s="319" t="s">
        <v>348</v>
      </c>
      <c r="UD3" s="319" t="s">
        <v>333</v>
      </c>
      <c r="UE3" s="319" t="s">
        <v>351</v>
      </c>
      <c r="UF3" s="319"/>
      <c r="UG3" s="319" t="s">
        <v>346</v>
      </c>
      <c r="UH3" s="319" t="s">
        <v>152</v>
      </c>
      <c r="UI3" s="319" t="s">
        <v>104</v>
      </c>
      <c r="UJ3" s="319" t="s">
        <v>153</v>
      </c>
      <c r="UK3" s="319" t="s">
        <v>330</v>
      </c>
      <c r="UL3" s="319" t="s">
        <v>331</v>
      </c>
      <c r="UM3" s="319" t="s">
        <v>338</v>
      </c>
      <c r="UN3" s="319" t="s">
        <v>151</v>
      </c>
      <c r="UO3" s="319" t="s">
        <v>347</v>
      </c>
      <c r="UP3" s="319" t="s">
        <v>348</v>
      </c>
      <c r="UQ3" s="319" t="s">
        <v>333</v>
      </c>
      <c r="UR3" s="319" t="s">
        <v>155</v>
      </c>
      <c r="US3" s="319" t="s">
        <v>349</v>
      </c>
      <c r="UT3" s="319" t="s">
        <v>332</v>
      </c>
      <c r="UU3" s="319" t="s">
        <v>330</v>
      </c>
      <c r="UV3" s="319" t="s">
        <v>350</v>
      </c>
      <c r="UW3" s="319" t="s">
        <v>348</v>
      </c>
      <c r="UX3" s="319" t="s">
        <v>333</v>
      </c>
      <c r="UY3" s="319" t="s">
        <v>351</v>
      </c>
      <c r="UZ3" s="319"/>
      <c r="VA3" s="319" t="s">
        <v>346</v>
      </c>
      <c r="VB3" s="319" t="s">
        <v>152</v>
      </c>
      <c r="VC3" s="319" t="s">
        <v>104</v>
      </c>
      <c r="VD3" s="319" t="s">
        <v>153</v>
      </c>
      <c r="VE3" s="319" t="s">
        <v>330</v>
      </c>
      <c r="VF3" s="319" t="s">
        <v>331</v>
      </c>
      <c r="VG3" s="319" t="s">
        <v>338</v>
      </c>
      <c r="VH3" s="319" t="s">
        <v>151</v>
      </c>
      <c r="VI3" s="319" t="s">
        <v>347</v>
      </c>
      <c r="VJ3" s="319" t="s">
        <v>348</v>
      </c>
      <c r="VK3" s="319" t="s">
        <v>333</v>
      </c>
      <c r="VL3" s="319" t="s">
        <v>155</v>
      </c>
      <c r="VM3" s="319" t="s">
        <v>349</v>
      </c>
      <c r="VN3" s="319" t="s">
        <v>332</v>
      </c>
      <c r="VO3" s="319" t="s">
        <v>330</v>
      </c>
      <c r="VP3" s="319" t="s">
        <v>347</v>
      </c>
      <c r="VQ3" s="319" t="s">
        <v>348</v>
      </c>
      <c r="VR3" s="319" t="s">
        <v>333</v>
      </c>
      <c r="VS3" s="319" t="s">
        <v>351</v>
      </c>
      <c r="VT3" s="319"/>
      <c r="VU3" s="319" t="s">
        <v>346</v>
      </c>
      <c r="VV3" s="319" t="s">
        <v>152</v>
      </c>
      <c r="VW3" s="319" t="s">
        <v>104</v>
      </c>
      <c r="VX3" s="319" t="s">
        <v>153</v>
      </c>
      <c r="VY3" s="319" t="s">
        <v>330</v>
      </c>
      <c r="VZ3" s="319" t="s">
        <v>331</v>
      </c>
      <c r="WA3" s="319" t="s">
        <v>338</v>
      </c>
      <c r="WB3" s="319" t="s">
        <v>151</v>
      </c>
      <c r="WC3" s="319" t="s">
        <v>347</v>
      </c>
      <c r="WD3" s="319" t="s">
        <v>348</v>
      </c>
      <c r="WE3" s="319" t="s">
        <v>333</v>
      </c>
      <c r="WF3" s="319" t="s">
        <v>155</v>
      </c>
      <c r="WG3" s="319" t="s">
        <v>349</v>
      </c>
      <c r="WH3" s="319" t="s">
        <v>332</v>
      </c>
      <c r="WI3" s="319" t="s">
        <v>330</v>
      </c>
      <c r="WJ3" s="319" t="s">
        <v>347</v>
      </c>
      <c r="WK3" s="319" t="s">
        <v>348</v>
      </c>
      <c r="WL3" s="319" t="s">
        <v>333</v>
      </c>
      <c r="WM3" s="319" t="s">
        <v>351</v>
      </c>
      <c r="WN3" s="319"/>
      <c r="WO3" s="319"/>
      <c r="WP3" s="319"/>
      <c r="WQ3" s="319">
        <v>1</v>
      </c>
      <c r="WR3" s="319" t="str">
        <f t="shared" ref="WR3:WR38" si="34">RT3</f>
        <v>Germany</v>
      </c>
      <c r="WS3" s="322">
        <f ca="1">IF(OFFSET('Player Game Board'!P10,0,WS1)&lt;&gt;"",OFFSET('Player Game Board'!P10,0,WS1),0)</f>
        <v>2</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1</v>
      </c>
      <c r="XB3" s="320">
        <f t="shared" ref="XB3" ca="1" si="39">VLOOKUP(WZ3,ST4:SY40,3,FALSE)</f>
        <v>0</v>
      </c>
      <c r="XC3" s="320">
        <f t="shared" ref="XC3" ca="1" si="40">VLOOKUP(WZ3,ST4:SY40,4,FALSE)</f>
        <v>2</v>
      </c>
      <c r="XD3" s="320">
        <f t="shared" ref="XD3" ca="1" si="41">VLOOKUP(WZ3,ST4:SY40,5,FALSE)</f>
        <v>3</v>
      </c>
      <c r="XE3" s="320">
        <f t="shared" ref="XE3" ca="1" si="42">VLOOKUP(WZ3,ST4:SY40,6,FALSE)</f>
        <v>4</v>
      </c>
      <c r="XF3" s="320">
        <f t="shared" ref="XF3:XF8" ca="1" si="43">XD3-XE3+1000</f>
        <v>999</v>
      </c>
      <c r="XG3" s="320">
        <f t="shared" ref="XG3:XG8" ca="1" si="44">XA3*3+XB3*1</f>
        <v>3</v>
      </c>
      <c r="XH3" s="319">
        <f ca="1">VLOOKUP(WZ3,B4:J40,9,FALSE)</f>
        <v>43</v>
      </c>
      <c r="XI3" s="319">
        <f t="shared" ref="XI3" ca="1" si="45">RANK(XG3,XG3:XG8)</f>
        <v>3</v>
      </c>
      <c r="XJ3" s="319">
        <f t="shared" ref="XJ3" ca="1" si="46">SUMPRODUCT((XI3:XI8=XI3)*(XF3:XF8&gt;XF3))</f>
        <v>1</v>
      </c>
      <c r="XK3" s="319">
        <f t="shared" ref="XK3" ca="1" si="47">SUMPRODUCT((XI3:XI8=XI3)*(XF3:XF8=XF3)*(XD3:XD8&gt;XD3))</f>
        <v>0</v>
      </c>
      <c r="XL3" s="319">
        <f t="shared" ref="XL3" ca="1" si="48">SUMPRODUCT((XI3:XI8=XI3)*(XF3:XF8=XF3)*(XD3:XD8=XD3)*(XH3:XH8&gt;XH3))</f>
        <v>0</v>
      </c>
      <c r="XM3" s="319">
        <f t="shared" ref="XM3:XM8" ca="1" si="49">SUM(XI3:XL3)</f>
        <v>4</v>
      </c>
      <c r="XN3" s="319" t="s">
        <v>101</v>
      </c>
      <c r="XO3" s="319">
        <v>1</v>
      </c>
      <c r="XP3" s="319"/>
      <c r="XQ3" s="319"/>
      <c r="XR3" s="319"/>
      <c r="XS3" s="319" t="s">
        <v>152</v>
      </c>
      <c r="XT3" s="319" t="s">
        <v>104</v>
      </c>
      <c r="XU3" s="319" t="s">
        <v>153</v>
      </c>
      <c r="XV3" s="319" t="s">
        <v>330</v>
      </c>
      <c r="XW3" s="319" t="s">
        <v>331</v>
      </c>
      <c r="XX3" s="319" t="s">
        <v>338</v>
      </c>
      <c r="XY3" s="319" t="s">
        <v>260</v>
      </c>
      <c r="XZ3" s="319" t="s">
        <v>339</v>
      </c>
      <c r="YA3" s="319" t="s">
        <v>340</v>
      </c>
      <c r="YB3" s="319"/>
      <c r="YC3" s="319" t="s">
        <v>341</v>
      </c>
      <c r="YD3" s="319"/>
      <c r="YE3" s="319"/>
      <c r="YF3" s="319" t="s">
        <v>342</v>
      </c>
      <c r="YG3" s="319" t="s">
        <v>343</v>
      </c>
      <c r="YH3" s="319" t="s">
        <v>344</v>
      </c>
      <c r="YI3" s="319" t="s">
        <v>345</v>
      </c>
      <c r="YJ3" s="319"/>
      <c r="YK3" s="319" t="s">
        <v>346</v>
      </c>
      <c r="YL3" s="319" t="s">
        <v>152</v>
      </c>
      <c r="YM3" s="319" t="s">
        <v>104</v>
      </c>
      <c r="YN3" s="319" t="s">
        <v>153</v>
      </c>
      <c r="YO3" s="319" t="s">
        <v>330</v>
      </c>
      <c r="YP3" s="319" t="s">
        <v>331</v>
      </c>
      <c r="YQ3" s="319" t="s">
        <v>338</v>
      </c>
      <c r="YR3" s="319" t="s">
        <v>151</v>
      </c>
      <c r="YS3" s="319" t="s">
        <v>347</v>
      </c>
      <c r="YT3" s="319" t="s">
        <v>348</v>
      </c>
      <c r="YU3" s="319" t="s">
        <v>333</v>
      </c>
      <c r="YV3" s="319" t="s">
        <v>155</v>
      </c>
      <c r="YW3" s="319" t="s">
        <v>349</v>
      </c>
      <c r="YX3" s="319" t="s">
        <v>332</v>
      </c>
      <c r="YY3" s="319" t="s">
        <v>330</v>
      </c>
      <c r="YZ3" s="319" t="s">
        <v>350</v>
      </c>
      <c r="ZA3" s="319" t="s">
        <v>348</v>
      </c>
      <c r="ZB3" s="319" t="s">
        <v>333</v>
      </c>
      <c r="ZC3" s="319" t="s">
        <v>351</v>
      </c>
      <c r="ZD3" s="319"/>
      <c r="ZE3" s="319" t="s">
        <v>346</v>
      </c>
      <c r="ZF3" s="319" t="s">
        <v>152</v>
      </c>
      <c r="ZG3" s="319" t="s">
        <v>104</v>
      </c>
      <c r="ZH3" s="319" t="s">
        <v>153</v>
      </c>
      <c r="ZI3" s="319" t="s">
        <v>330</v>
      </c>
      <c r="ZJ3" s="319" t="s">
        <v>331</v>
      </c>
      <c r="ZK3" s="319" t="s">
        <v>338</v>
      </c>
      <c r="ZL3" s="319" t="s">
        <v>151</v>
      </c>
      <c r="ZM3" s="319" t="s">
        <v>347</v>
      </c>
      <c r="ZN3" s="319" t="s">
        <v>348</v>
      </c>
      <c r="ZO3" s="319" t="s">
        <v>333</v>
      </c>
      <c r="ZP3" s="319" t="s">
        <v>155</v>
      </c>
      <c r="ZQ3" s="319" t="s">
        <v>349</v>
      </c>
      <c r="ZR3" s="319" t="s">
        <v>332</v>
      </c>
      <c r="ZS3" s="319" t="s">
        <v>330</v>
      </c>
      <c r="ZT3" s="319" t="s">
        <v>350</v>
      </c>
      <c r="ZU3" s="319" t="s">
        <v>348</v>
      </c>
      <c r="ZV3" s="319" t="s">
        <v>333</v>
      </c>
      <c r="ZW3" s="319" t="s">
        <v>351</v>
      </c>
      <c r="ZX3" s="319"/>
      <c r="ZY3" s="319" t="s">
        <v>346</v>
      </c>
      <c r="ZZ3" s="319" t="s">
        <v>152</v>
      </c>
      <c r="AAA3" s="319" t="s">
        <v>104</v>
      </c>
      <c r="AAB3" s="319" t="s">
        <v>153</v>
      </c>
      <c r="AAC3" s="319" t="s">
        <v>330</v>
      </c>
      <c r="AAD3" s="319" t="s">
        <v>331</v>
      </c>
      <c r="AAE3" s="319" t="s">
        <v>338</v>
      </c>
      <c r="AAF3" s="319" t="s">
        <v>151</v>
      </c>
      <c r="AAG3" s="319" t="s">
        <v>347</v>
      </c>
      <c r="AAH3" s="319" t="s">
        <v>348</v>
      </c>
      <c r="AAI3" s="319" t="s">
        <v>333</v>
      </c>
      <c r="AAJ3" s="319" t="s">
        <v>155</v>
      </c>
      <c r="AAK3" s="319" t="s">
        <v>349</v>
      </c>
      <c r="AAL3" s="319" t="s">
        <v>332</v>
      </c>
      <c r="AAM3" s="319" t="s">
        <v>330</v>
      </c>
      <c r="AAN3" s="319" t="s">
        <v>347</v>
      </c>
      <c r="AAO3" s="319" t="s">
        <v>348</v>
      </c>
      <c r="AAP3" s="319" t="s">
        <v>333</v>
      </c>
      <c r="AAQ3" s="319" t="s">
        <v>351</v>
      </c>
      <c r="AAR3" s="319"/>
      <c r="AAS3" s="319" t="s">
        <v>346</v>
      </c>
      <c r="AAT3" s="319" t="s">
        <v>152</v>
      </c>
      <c r="AAU3" s="319" t="s">
        <v>104</v>
      </c>
      <c r="AAV3" s="319" t="s">
        <v>153</v>
      </c>
      <c r="AAW3" s="319" t="s">
        <v>330</v>
      </c>
      <c r="AAX3" s="319" t="s">
        <v>331</v>
      </c>
      <c r="AAY3" s="319" t="s">
        <v>338</v>
      </c>
      <c r="AAZ3" s="319" t="s">
        <v>151</v>
      </c>
      <c r="ABA3" s="319" t="s">
        <v>347</v>
      </c>
      <c r="ABB3" s="319" t="s">
        <v>348</v>
      </c>
      <c r="ABC3" s="319" t="s">
        <v>333</v>
      </c>
      <c r="ABD3" s="319" t="s">
        <v>155</v>
      </c>
      <c r="ABE3" s="319" t="s">
        <v>349</v>
      </c>
      <c r="ABF3" s="319" t="s">
        <v>332</v>
      </c>
      <c r="ABG3" s="319" t="s">
        <v>330</v>
      </c>
      <c r="ABH3" s="319" t="s">
        <v>347</v>
      </c>
      <c r="ABI3" s="319" t="s">
        <v>348</v>
      </c>
      <c r="ABJ3" s="319" t="s">
        <v>333</v>
      </c>
      <c r="ABK3" s="319" t="s">
        <v>351</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Switzerland</v>
      </c>
      <c r="ABY3" s="320">
        <f t="shared" ref="ABY3" ca="1" si="54">VLOOKUP(ABX3,XR4:XW40,2,FALSE)</f>
        <v>1</v>
      </c>
      <c r="ABZ3" s="320">
        <f t="shared" ref="ABZ3" ca="1" si="55">VLOOKUP(ABX3,XR4:XW40,3,FALSE)</f>
        <v>0</v>
      </c>
      <c r="ACA3" s="320">
        <f t="shared" ref="ACA3" ca="1" si="56">VLOOKUP(ABX3,XR4:XW40,4,FALSE)</f>
        <v>2</v>
      </c>
      <c r="ACB3" s="320">
        <f t="shared" ref="ACB3" ca="1" si="57">VLOOKUP(ABX3,XR4:XW40,5,FALSE)</f>
        <v>4</v>
      </c>
      <c r="ACC3" s="320">
        <f t="shared" ref="ACC3" ca="1" si="58">VLOOKUP(ABX3,XR4:XW40,6,FALSE)</f>
        <v>6</v>
      </c>
      <c r="ACD3" s="320">
        <f t="shared" ref="ACD3:ACD8" ca="1" si="59">ACB3-ACC3+1000</f>
        <v>998</v>
      </c>
      <c r="ACE3" s="320">
        <f t="shared" ref="ACE3:ACE8" ca="1" si="60">ABY3*3+ABZ3*1</f>
        <v>3</v>
      </c>
      <c r="ACF3" s="319">
        <f ca="1">VLOOKUP(ABX3,B4:J40,9,FALSE)</f>
        <v>34</v>
      </c>
      <c r="ACG3" s="319">
        <f t="shared" ref="ACG3" ca="1" si="61">RANK(ACE3,ACE3:ACE8)</f>
        <v>3</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4</v>
      </c>
      <c r="ACL3" s="319" t="s">
        <v>101</v>
      </c>
      <c r="ACM3" s="319">
        <v>1</v>
      </c>
      <c r="ACN3" s="319"/>
      <c r="ACO3" s="319"/>
      <c r="ACP3" s="319"/>
      <c r="ACQ3" s="319" t="s">
        <v>152</v>
      </c>
      <c r="ACR3" s="319" t="s">
        <v>104</v>
      </c>
      <c r="ACS3" s="319" t="s">
        <v>153</v>
      </c>
      <c r="ACT3" s="319" t="s">
        <v>330</v>
      </c>
      <c r="ACU3" s="319" t="s">
        <v>331</v>
      </c>
      <c r="ACV3" s="319" t="s">
        <v>338</v>
      </c>
      <c r="ACW3" s="319" t="s">
        <v>260</v>
      </c>
      <c r="ACX3" s="319" t="s">
        <v>339</v>
      </c>
      <c r="ACY3" s="319" t="s">
        <v>340</v>
      </c>
      <c r="ACZ3" s="319"/>
      <c r="ADA3" s="319" t="s">
        <v>341</v>
      </c>
      <c r="ADB3" s="319"/>
      <c r="ADC3" s="319"/>
      <c r="ADD3" s="319" t="s">
        <v>342</v>
      </c>
      <c r="ADE3" s="319" t="s">
        <v>343</v>
      </c>
      <c r="ADF3" s="319" t="s">
        <v>344</v>
      </c>
      <c r="ADG3" s="319" t="s">
        <v>345</v>
      </c>
      <c r="ADH3" s="319"/>
      <c r="ADI3" s="319" t="s">
        <v>346</v>
      </c>
      <c r="ADJ3" s="319" t="s">
        <v>152</v>
      </c>
      <c r="ADK3" s="319" t="s">
        <v>104</v>
      </c>
      <c r="ADL3" s="319" t="s">
        <v>153</v>
      </c>
      <c r="ADM3" s="319" t="s">
        <v>330</v>
      </c>
      <c r="ADN3" s="319" t="s">
        <v>331</v>
      </c>
      <c r="ADO3" s="319" t="s">
        <v>338</v>
      </c>
      <c r="ADP3" s="319" t="s">
        <v>151</v>
      </c>
      <c r="ADQ3" s="319" t="s">
        <v>347</v>
      </c>
      <c r="ADR3" s="319" t="s">
        <v>348</v>
      </c>
      <c r="ADS3" s="319" t="s">
        <v>333</v>
      </c>
      <c r="ADT3" s="319" t="s">
        <v>155</v>
      </c>
      <c r="ADU3" s="319" t="s">
        <v>349</v>
      </c>
      <c r="ADV3" s="319" t="s">
        <v>332</v>
      </c>
      <c r="ADW3" s="319" t="s">
        <v>330</v>
      </c>
      <c r="ADX3" s="319" t="s">
        <v>350</v>
      </c>
      <c r="ADY3" s="319" t="s">
        <v>348</v>
      </c>
      <c r="ADZ3" s="319" t="s">
        <v>333</v>
      </c>
      <c r="AEA3" s="319" t="s">
        <v>351</v>
      </c>
      <c r="AEB3" s="319"/>
      <c r="AEC3" s="319" t="s">
        <v>346</v>
      </c>
      <c r="AED3" s="319" t="s">
        <v>152</v>
      </c>
      <c r="AEE3" s="319" t="s">
        <v>104</v>
      </c>
      <c r="AEF3" s="319" t="s">
        <v>153</v>
      </c>
      <c r="AEG3" s="319" t="s">
        <v>330</v>
      </c>
      <c r="AEH3" s="319" t="s">
        <v>331</v>
      </c>
      <c r="AEI3" s="319" t="s">
        <v>338</v>
      </c>
      <c r="AEJ3" s="319" t="s">
        <v>151</v>
      </c>
      <c r="AEK3" s="319" t="s">
        <v>347</v>
      </c>
      <c r="AEL3" s="319" t="s">
        <v>348</v>
      </c>
      <c r="AEM3" s="319" t="s">
        <v>333</v>
      </c>
      <c r="AEN3" s="319" t="s">
        <v>155</v>
      </c>
      <c r="AEO3" s="319" t="s">
        <v>349</v>
      </c>
      <c r="AEP3" s="319" t="s">
        <v>332</v>
      </c>
      <c r="AEQ3" s="319" t="s">
        <v>330</v>
      </c>
      <c r="AER3" s="319" t="s">
        <v>350</v>
      </c>
      <c r="AES3" s="319" t="s">
        <v>348</v>
      </c>
      <c r="AET3" s="319" t="s">
        <v>333</v>
      </c>
      <c r="AEU3" s="319" t="s">
        <v>351</v>
      </c>
      <c r="AEV3" s="319"/>
      <c r="AEW3" s="319" t="s">
        <v>346</v>
      </c>
      <c r="AEX3" s="319" t="s">
        <v>152</v>
      </c>
      <c r="AEY3" s="319" t="s">
        <v>104</v>
      </c>
      <c r="AEZ3" s="319" t="s">
        <v>153</v>
      </c>
      <c r="AFA3" s="319" t="s">
        <v>330</v>
      </c>
      <c r="AFB3" s="319" t="s">
        <v>331</v>
      </c>
      <c r="AFC3" s="319" t="s">
        <v>338</v>
      </c>
      <c r="AFD3" s="319" t="s">
        <v>151</v>
      </c>
      <c r="AFE3" s="319" t="s">
        <v>347</v>
      </c>
      <c r="AFF3" s="319" t="s">
        <v>348</v>
      </c>
      <c r="AFG3" s="319" t="s">
        <v>333</v>
      </c>
      <c r="AFH3" s="319" t="s">
        <v>155</v>
      </c>
      <c r="AFI3" s="319" t="s">
        <v>349</v>
      </c>
      <c r="AFJ3" s="319" t="s">
        <v>332</v>
      </c>
      <c r="AFK3" s="319" t="s">
        <v>330</v>
      </c>
      <c r="AFL3" s="319" t="s">
        <v>347</v>
      </c>
      <c r="AFM3" s="319" t="s">
        <v>348</v>
      </c>
      <c r="AFN3" s="319" t="s">
        <v>333</v>
      </c>
      <c r="AFO3" s="319" t="s">
        <v>351</v>
      </c>
      <c r="AFP3" s="319"/>
      <c r="AFQ3" s="319" t="s">
        <v>346</v>
      </c>
      <c r="AFR3" s="319" t="s">
        <v>152</v>
      </c>
      <c r="AFS3" s="319" t="s">
        <v>104</v>
      </c>
      <c r="AFT3" s="319" t="s">
        <v>153</v>
      </c>
      <c r="AFU3" s="319" t="s">
        <v>330</v>
      </c>
      <c r="AFV3" s="319" t="s">
        <v>331</v>
      </c>
      <c r="AFW3" s="319" t="s">
        <v>338</v>
      </c>
      <c r="AFX3" s="319" t="s">
        <v>151</v>
      </c>
      <c r="AFY3" s="319" t="s">
        <v>347</v>
      </c>
      <c r="AFZ3" s="319" t="s">
        <v>348</v>
      </c>
      <c r="AGA3" s="319" t="s">
        <v>333</v>
      </c>
      <c r="AGB3" s="319" t="s">
        <v>155</v>
      </c>
      <c r="AGC3" s="319" t="s">
        <v>349</v>
      </c>
      <c r="AGD3" s="319" t="s">
        <v>332</v>
      </c>
      <c r="AGE3" s="319" t="s">
        <v>330</v>
      </c>
      <c r="AGF3" s="319" t="s">
        <v>347</v>
      </c>
      <c r="AGG3" s="319" t="s">
        <v>348</v>
      </c>
      <c r="AGH3" s="319" t="s">
        <v>333</v>
      </c>
      <c r="AGI3" s="319" t="s">
        <v>351</v>
      </c>
      <c r="AGJ3" s="319"/>
      <c r="AGK3" s="319"/>
      <c r="AGL3" s="319"/>
      <c r="AGM3" s="319">
        <v>1</v>
      </c>
      <c r="AGN3" s="319" t="str">
        <f t="shared" ref="AGN3:AGN38" si="66">ABP3</f>
        <v>Germany</v>
      </c>
      <c r="AGO3" s="322">
        <f ca="1">IF(OFFSET('Player Game Board'!P10,0,AGO1)&lt;&gt;"",OFFSET('Player Game Board'!P10,0,AGO1),0)</f>
        <v>3</v>
      </c>
      <c r="AGP3" s="322">
        <f ca="1">IF(OFFSET('Player Game Board'!Q10,0,AGO1)&lt;&gt;"",OFFSET('Player Game Board'!Q10,0,AGO1),0)</f>
        <v>1</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Scotland</v>
      </c>
      <c r="AGW3" s="320">
        <f t="shared" ref="AGW3" ca="1" si="70">VLOOKUP(AGV3,ACP4:ACU40,2,FALSE)</f>
        <v>1</v>
      </c>
      <c r="AGX3" s="320">
        <f t="shared" ref="AGX3" ca="1" si="71">VLOOKUP(AGV3,ACP4:ACU40,3,FALSE)</f>
        <v>1</v>
      </c>
      <c r="AGY3" s="320">
        <f t="shared" ref="AGY3" ca="1" si="72">VLOOKUP(AGV3,ACP4:ACU40,4,FALSE)</f>
        <v>1</v>
      </c>
      <c r="AGZ3" s="320">
        <f t="shared" ref="AGZ3" ca="1" si="73">VLOOKUP(AGV3,ACP4:ACU40,5,FALSE)</f>
        <v>4</v>
      </c>
      <c r="AHA3" s="320">
        <f t="shared" ref="AHA3" ca="1" si="74">VLOOKUP(AGV3,ACP4:ACU40,6,FALSE)</f>
        <v>5</v>
      </c>
      <c r="AHB3" s="320">
        <f t="shared" ref="AHB3:AHB8" ca="1" si="75">AGZ3-AHA3+1000</f>
        <v>999</v>
      </c>
      <c r="AHC3" s="320">
        <f t="shared" ref="AHC3:AHC8" ca="1" si="76">AGW3*3+AGX3*1</f>
        <v>4</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1</v>
      </c>
      <c r="AHI3" s="319">
        <f t="shared" ref="AHI3:AHI8" ca="1" si="81">SUM(AHE3:AHH3)</f>
        <v>2</v>
      </c>
      <c r="AHJ3" s="319" t="s">
        <v>101</v>
      </c>
      <c r="AHK3" s="319">
        <v>1</v>
      </c>
      <c r="AHL3" s="319"/>
      <c r="AHM3" s="319"/>
      <c r="AHN3" s="319"/>
      <c r="AHO3" s="319" t="s">
        <v>152</v>
      </c>
      <c r="AHP3" s="319" t="s">
        <v>104</v>
      </c>
      <c r="AHQ3" s="319" t="s">
        <v>153</v>
      </c>
      <c r="AHR3" s="319" t="s">
        <v>330</v>
      </c>
      <c r="AHS3" s="319" t="s">
        <v>331</v>
      </c>
      <c r="AHT3" s="319" t="s">
        <v>338</v>
      </c>
      <c r="AHU3" s="319" t="s">
        <v>260</v>
      </c>
      <c r="AHV3" s="319" t="s">
        <v>339</v>
      </c>
      <c r="AHW3" s="319" t="s">
        <v>340</v>
      </c>
      <c r="AHX3" s="319"/>
      <c r="AHY3" s="319" t="s">
        <v>341</v>
      </c>
      <c r="AHZ3" s="319"/>
      <c r="AIA3" s="319"/>
      <c r="AIB3" s="319" t="s">
        <v>342</v>
      </c>
      <c r="AIC3" s="319" t="s">
        <v>343</v>
      </c>
      <c r="AID3" s="319" t="s">
        <v>344</v>
      </c>
      <c r="AIE3" s="319" t="s">
        <v>345</v>
      </c>
      <c r="AIF3" s="319"/>
      <c r="AIG3" s="319" t="s">
        <v>346</v>
      </c>
      <c r="AIH3" s="319" t="s">
        <v>152</v>
      </c>
      <c r="AII3" s="319" t="s">
        <v>104</v>
      </c>
      <c r="AIJ3" s="319" t="s">
        <v>153</v>
      </c>
      <c r="AIK3" s="319" t="s">
        <v>330</v>
      </c>
      <c r="AIL3" s="319" t="s">
        <v>331</v>
      </c>
      <c r="AIM3" s="319" t="s">
        <v>338</v>
      </c>
      <c r="AIN3" s="319" t="s">
        <v>151</v>
      </c>
      <c r="AIO3" s="319" t="s">
        <v>347</v>
      </c>
      <c r="AIP3" s="319" t="s">
        <v>348</v>
      </c>
      <c r="AIQ3" s="319" t="s">
        <v>333</v>
      </c>
      <c r="AIR3" s="319" t="s">
        <v>155</v>
      </c>
      <c r="AIS3" s="319" t="s">
        <v>349</v>
      </c>
      <c r="AIT3" s="319" t="s">
        <v>332</v>
      </c>
      <c r="AIU3" s="319" t="s">
        <v>330</v>
      </c>
      <c r="AIV3" s="319" t="s">
        <v>350</v>
      </c>
      <c r="AIW3" s="319" t="s">
        <v>348</v>
      </c>
      <c r="AIX3" s="319" t="s">
        <v>333</v>
      </c>
      <c r="AIY3" s="319" t="s">
        <v>351</v>
      </c>
      <c r="AIZ3" s="319"/>
      <c r="AJA3" s="319" t="s">
        <v>346</v>
      </c>
      <c r="AJB3" s="319" t="s">
        <v>152</v>
      </c>
      <c r="AJC3" s="319" t="s">
        <v>104</v>
      </c>
      <c r="AJD3" s="319" t="s">
        <v>153</v>
      </c>
      <c r="AJE3" s="319" t="s">
        <v>330</v>
      </c>
      <c r="AJF3" s="319" t="s">
        <v>331</v>
      </c>
      <c r="AJG3" s="319" t="s">
        <v>338</v>
      </c>
      <c r="AJH3" s="319" t="s">
        <v>151</v>
      </c>
      <c r="AJI3" s="319" t="s">
        <v>347</v>
      </c>
      <c r="AJJ3" s="319" t="s">
        <v>348</v>
      </c>
      <c r="AJK3" s="319" t="s">
        <v>333</v>
      </c>
      <c r="AJL3" s="319" t="s">
        <v>155</v>
      </c>
      <c r="AJM3" s="319" t="s">
        <v>349</v>
      </c>
      <c r="AJN3" s="319" t="s">
        <v>332</v>
      </c>
      <c r="AJO3" s="319" t="s">
        <v>330</v>
      </c>
      <c r="AJP3" s="319" t="s">
        <v>350</v>
      </c>
      <c r="AJQ3" s="319" t="s">
        <v>348</v>
      </c>
      <c r="AJR3" s="319" t="s">
        <v>333</v>
      </c>
      <c r="AJS3" s="319" t="s">
        <v>351</v>
      </c>
      <c r="AJT3" s="319"/>
      <c r="AJU3" s="319" t="s">
        <v>346</v>
      </c>
      <c r="AJV3" s="319" t="s">
        <v>152</v>
      </c>
      <c r="AJW3" s="319" t="s">
        <v>104</v>
      </c>
      <c r="AJX3" s="319" t="s">
        <v>153</v>
      </c>
      <c r="AJY3" s="319" t="s">
        <v>330</v>
      </c>
      <c r="AJZ3" s="319" t="s">
        <v>331</v>
      </c>
      <c r="AKA3" s="319" t="s">
        <v>338</v>
      </c>
      <c r="AKB3" s="319" t="s">
        <v>151</v>
      </c>
      <c r="AKC3" s="319" t="s">
        <v>347</v>
      </c>
      <c r="AKD3" s="319" t="s">
        <v>348</v>
      </c>
      <c r="AKE3" s="319" t="s">
        <v>333</v>
      </c>
      <c r="AKF3" s="319" t="s">
        <v>155</v>
      </c>
      <c r="AKG3" s="319" t="s">
        <v>349</v>
      </c>
      <c r="AKH3" s="319" t="s">
        <v>332</v>
      </c>
      <c r="AKI3" s="319" t="s">
        <v>330</v>
      </c>
      <c r="AKJ3" s="319" t="s">
        <v>347</v>
      </c>
      <c r="AKK3" s="319" t="s">
        <v>348</v>
      </c>
      <c r="AKL3" s="319" t="s">
        <v>333</v>
      </c>
      <c r="AKM3" s="319" t="s">
        <v>351</v>
      </c>
      <c r="AKN3" s="319"/>
      <c r="AKO3" s="319" t="s">
        <v>346</v>
      </c>
      <c r="AKP3" s="319" t="s">
        <v>152</v>
      </c>
      <c r="AKQ3" s="319" t="s">
        <v>104</v>
      </c>
      <c r="AKR3" s="319" t="s">
        <v>153</v>
      </c>
      <c r="AKS3" s="319" t="s">
        <v>330</v>
      </c>
      <c r="AKT3" s="319" t="s">
        <v>331</v>
      </c>
      <c r="AKU3" s="319" t="s">
        <v>338</v>
      </c>
      <c r="AKV3" s="319" t="s">
        <v>151</v>
      </c>
      <c r="AKW3" s="319" t="s">
        <v>347</v>
      </c>
      <c r="AKX3" s="319" t="s">
        <v>348</v>
      </c>
      <c r="AKY3" s="319" t="s">
        <v>333</v>
      </c>
      <c r="AKZ3" s="319" t="s">
        <v>155</v>
      </c>
      <c r="ALA3" s="319" t="s">
        <v>349</v>
      </c>
      <c r="ALB3" s="319" t="s">
        <v>332</v>
      </c>
      <c r="ALC3" s="319" t="s">
        <v>330</v>
      </c>
      <c r="ALD3" s="319" t="s">
        <v>347</v>
      </c>
      <c r="ALE3" s="319" t="s">
        <v>348</v>
      </c>
      <c r="ALF3" s="319" t="s">
        <v>333</v>
      </c>
      <c r="ALG3" s="319" t="s">
        <v>351</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Scotland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4</v>
      </c>
      <c r="ALZ3" s="320">
        <f t="shared" ref="ALZ3:ALZ8" ca="1" si="91">ALX3-ALY3+1000</f>
        <v>997</v>
      </c>
      <c r="AMA3" s="320">
        <f t="shared" ref="AMA3:AMA8" ca="1" si="92">ALU3*3+ALV3*1</f>
        <v>1</v>
      </c>
      <c r="AMB3" s="319">
        <f ca="1">VLOOKUP(ALT3,B4:J40,9,FALSE)</f>
        <v>43</v>
      </c>
      <c r="AMC3" s="319">
        <f t="shared" ref="AMC3" ca="1" si="93">RANK(AMA3,AMA3:AMA8)</f>
        <v>4</v>
      </c>
      <c r="AMD3" s="319">
        <f t="shared" ref="AMD3" ca="1" si="94">SUMPRODUCT((AMC3:AMC8=AMC3)*(ALZ3:ALZ8&gt;ALZ3))</f>
        <v>0</v>
      </c>
      <c r="AME3" s="319">
        <f t="shared" ref="AME3" ca="1" si="95">SUMPRODUCT((AMC3:AMC8=AMC3)*(ALZ3:ALZ8=ALZ3)*(ALX3:ALX8&gt;ALX3))</f>
        <v>2</v>
      </c>
      <c r="AMF3" s="319">
        <f t="shared" ref="AMF3" ca="1" si="96">SUMPRODUCT((AMC3:AMC8=AMC3)*(ALZ3:ALZ8=ALZ3)*(ALX3:ALX8=ALX3)*(AMB3:AMB8&gt;AMB3))</f>
        <v>0</v>
      </c>
      <c r="AMG3" s="319">
        <f t="shared" ref="AMG3:AMG8" ca="1" si="97">SUM(AMC3:AMF3)</f>
        <v>6</v>
      </c>
      <c r="AMH3" s="319" t="s">
        <v>101</v>
      </c>
      <c r="AMI3" s="319">
        <v>1</v>
      </c>
      <c r="AMJ3" s="319"/>
      <c r="AMK3" s="319"/>
      <c r="AML3" s="319"/>
      <c r="AMM3" s="319" t="s">
        <v>152</v>
      </c>
      <c r="AMN3" s="319" t="s">
        <v>104</v>
      </c>
      <c r="AMO3" s="319" t="s">
        <v>153</v>
      </c>
      <c r="AMP3" s="319" t="s">
        <v>330</v>
      </c>
      <c r="AMQ3" s="319" t="s">
        <v>331</v>
      </c>
      <c r="AMR3" s="319" t="s">
        <v>338</v>
      </c>
      <c r="AMS3" s="319" t="s">
        <v>260</v>
      </c>
      <c r="AMT3" s="319" t="s">
        <v>339</v>
      </c>
      <c r="AMU3" s="319" t="s">
        <v>340</v>
      </c>
      <c r="AMV3" s="319"/>
      <c r="AMW3" s="319" t="s">
        <v>341</v>
      </c>
      <c r="AMX3" s="319"/>
      <c r="AMY3" s="319"/>
      <c r="AMZ3" s="319" t="s">
        <v>342</v>
      </c>
      <c r="ANA3" s="319" t="s">
        <v>343</v>
      </c>
      <c r="ANB3" s="319" t="s">
        <v>344</v>
      </c>
      <c r="ANC3" s="319" t="s">
        <v>345</v>
      </c>
      <c r="AND3" s="319"/>
      <c r="ANE3" s="319" t="s">
        <v>346</v>
      </c>
      <c r="ANF3" s="319" t="s">
        <v>152</v>
      </c>
      <c r="ANG3" s="319" t="s">
        <v>104</v>
      </c>
      <c r="ANH3" s="319" t="s">
        <v>153</v>
      </c>
      <c r="ANI3" s="319" t="s">
        <v>330</v>
      </c>
      <c r="ANJ3" s="319" t="s">
        <v>331</v>
      </c>
      <c r="ANK3" s="319" t="s">
        <v>338</v>
      </c>
      <c r="ANL3" s="319" t="s">
        <v>151</v>
      </c>
      <c r="ANM3" s="319" t="s">
        <v>347</v>
      </c>
      <c r="ANN3" s="319" t="s">
        <v>348</v>
      </c>
      <c r="ANO3" s="319" t="s">
        <v>333</v>
      </c>
      <c r="ANP3" s="319" t="s">
        <v>155</v>
      </c>
      <c r="ANQ3" s="319" t="s">
        <v>349</v>
      </c>
      <c r="ANR3" s="319" t="s">
        <v>332</v>
      </c>
      <c r="ANS3" s="319" t="s">
        <v>330</v>
      </c>
      <c r="ANT3" s="319" t="s">
        <v>350</v>
      </c>
      <c r="ANU3" s="319" t="s">
        <v>348</v>
      </c>
      <c r="ANV3" s="319" t="s">
        <v>333</v>
      </c>
      <c r="ANW3" s="319" t="s">
        <v>351</v>
      </c>
      <c r="ANX3" s="319"/>
      <c r="ANY3" s="319" t="s">
        <v>346</v>
      </c>
      <c r="ANZ3" s="319" t="s">
        <v>152</v>
      </c>
      <c r="AOA3" s="319" t="s">
        <v>104</v>
      </c>
      <c r="AOB3" s="319" t="s">
        <v>153</v>
      </c>
      <c r="AOC3" s="319" t="s">
        <v>330</v>
      </c>
      <c r="AOD3" s="319" t="s">
        <v>331</v>
      </c>
      <c r="AOE3" s="319" t="s">
        <v>338</v>
      </c>
      <c r="AOF3" s="319" t="s">
        <v>151</v>
      </c>
      <c r="AOG3" s="319" t="s">
        <v>347</v>
      </c>
      <c r="AOH3" s="319" t="s">
        <v>348</v>
      </c>
      <c r="AOI3" s="319" t="s">
        <v>333</v>
      </c>
      <c r="AOJ3" s="319" t="s">
        <v>155</v>
      </c>
      <c r="AOK3" s="319" t="s">
        <v>349</v>
      </c>
      <c r="AOL3" s="319" t="s">
        <v>332</v>
      </c>
      <c r="AOM3" s="319" t="s">
        <v>330</v>
      </c>
      <c r="AON3" s="319" t="s">
        <v>350</v>
      </c>
      <c r="AOO3" s="319" t="s">
        <v>348</v>
      </c>
      <c r="AOP3" s="319" t="s">
        <v>333</v>
      </c>
      <c r="AOQ3" s="319" t="s">
        <v>351</v>
      </c>
      <c r="AOR3" s="319"/>
      <c r="AOS3" s="319" t="s">
        <v>346</v>
      </c>
      <c r="AOT3" s="319" t="s">
        <v>152</v>
      </c>
      <c r="AOU3" s="319" t="s">
        <v>104</v>
      </c>
      <c r="AOV3" s="319" t="s">
        <v>153</v>
      </c>
      <c r="AOW3" s="319" t="s">
        <v>330</v>
      </c>
      <c r="AOX3" s="319" t="s">
        <v>331</v>
      </c>
      <c r="AOY3" s="319" t="s">
        <v>338</v>
      </c>
      <c r="AOZ3" s="319" t="s">
        <v>151</v>
      </c>
      <c r="APA3" s="319" t="s">
        <v>347</v>
      </c>
      <c r="APB3" s="319" t="s">
        <v>348</v>
      </c>
      <c r="APC3" s="319" t="s">
        <v>333</v>
      </c>
      <c r="APD3" s="319" t="s">
        <v>155</v>
      </c>
      <c r="APE3" s="319" t="s">
        <v>349</v>
      </c>
      <c r="APF3" s="319" t="s">
        <v>332</v>
      </c>
      <c r="APG3" s="319" t="s">
        <v>330</v>
      </c>
      <c r="APH3" s="319" t="s">
        <v>347</v>
      </c>
      <c r="API3" s="319" t="s">
        <v>348</v>
      </c>
      <c r="APJ3" s="319" t="s">
        <v>333</v>
      </c>
      <c r="APK3" s="319" t="s">
        <v>351</v>
      </c>
      <c r="APL3" s="319"/>
      <c r="APM3" s="319" t="s">
        <v>346</v>
      </c>
      <c r="APN3" s="319" t="s">
        <v>152</v>
      </c>
      <c r="APO3" s="319" t="s">
        <v>104</v>
      </c>
      <c r="APP3" s="319" t="s">
        <v>153</v>
      </c>
      <c r="APQ3" s="319" t="s">
        <v>330</v>
      </c>
      <c r="APR3" s="319" t="s">
        <v>331</v>
      </c>
      <c r="APS3" s="319" t="s">
        <v>338</v>
      </c>
      <c r="APT3" s="319" t="s">
        <v>151</v>
      </c>
      <c r="APU3" s="319" t="s">
        <v>347</v>
      </c>
      <c r="APV3" s="319" t="s">
        <v>348</v>
      </c>
      <c r="APW3" s="319" t="s">
        <v>333</v>
      </c>
      <c r="APX3" s="319" t="s">
        <v>155</v>
      </c>
      <c r="APY3" s="319" t="s">
        <v>349</v>
      </c>
      <c r="APZ3" s="319" t="s">
        <v>332</v>
      </c>
      <c r="AQA3" s="319" t="s">
        <v>330</v>
      </c>
      <c r="AQB3" s="319" t="s">
        <v>347</v>
      </c>
      <c r="AQC3" s="319" t="s">
        <v>348</v>
      </c>
      <c r="AQD3" s="319" t="s">
        <v>333</v>
      </c>
      <c r="AQE3" s="319" t="s">
        <v>351</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101</v>
      </c>
      <c r="ARG3" s="319">
        <v>1</v>
      </c>
      <c r="ARH3" s="319"/>
      <c r="ARI3" s="319"/>
      <c r="ARJ3" s="319"/>
      <c r="ARK3" s="319" t="s">
        <v>152</v>
      </c>
      <c r="ARL3" s="319" t="s">
        <v>104</v>
      </c>
      <c r="ARM3" s="319" t="s">
        <v>153</v>
      </c>
      <c r="ARN3" s="319" t="s">
        <v>330</v>
      </c>
      <c r="ARO3" s="319" t="s">
        <v>331</v>
      </c>
      <c r="ARP3" s="319" t="s">
        <v>338</v>
      </c>
      <c r="ARQ3" s="319" t="s">
        <v>260</v>
      </c>
      <c r="ARR3" s="319" t="s">
        <v>339</v>
      </c>
      <c r="ARS3" s="319" t="s">
        <v>340</v>
      </c>
      <c r="ART3" s="319"/>
      <c r="ARU3" s="319" t="s">
        <v>341</v>
      </c>
      <c r="ARV3" s="319"/>
      <c r="ARW3" s="319"/>
      <c r="ARX3" s="319" t="s">
        <v>342</v>
      </c>
      <c r="ARY3" s="319" t="s">
        <v>343</v>
      </c>
      <c r="ARZ3" s="319" t="s">
        <v>344</v>
      </c>
      <c r="ASA3" s="319" t="s">
        <v>345</v>
      </c>
      <c r="ASB3" s="319"/>
      <c r="ASC3" s="319" t="s">
        <v>346</v>
      </c>
      <c r="ASD3" s="319" t="s">
        <v>152</v>
      </c>
      <c r="ASE3" s="319" t="s">
        <v>104</v>
      </c>
      <c r="ASF3" s="319" t="s">
        <v>153</v>
      </c>
      <c r="ASG3" s="319" t="s">
        <v>330</v>
      </c>
      <c r="ASH3" s="319" t="s">
        <v>331</v>
      </c>
      <c r="ASI3" s="319" t="s">
        <v>338</v>
      </c>
      <c r="ASJ3" s="319" t="s">
        <v>151</v>
      </c>
      <c r="ASK3" s="319" t="s">
        <v>347</v>
      </c>
      <c r="ASL3" s="319" t="s">
        <v>348</v>
      </c>
      <c r="ASM3" s="319" t="s">
        <v>333</v>
      </c>
      <c r="ASN3" s="319" t="s">
        <v>155</v>
      </c>
      <c r="ASO3" s="319" t="s">
        <v>349</v>
      </c>
      <c r="ASP3" s="319" t="s">
        <v>332</v>
      </c>
      <c r="ASQ3" s="319" t="s">
        <v>330</v>
      </c>
      <c r="ASR3" s="319" t="s">
        <v>350</v>
      </c>
      <c r="ASS3" s="319" t="s">
        <v>348</v>
      </c>
      <c r="AST3" s="319" t="s">
        <v>333</v>
      </c>
      <c r="ASU3" s="319" t="s">
        <v>351</v>
      </c>
      <c r="ASV3" s="319"/>
      <c r="ASW3" s="319" t="s">
        <v>346</v>
      </c>
      <c r="ASX3" s="319" t="s">
        <v>152</v>
      </c>
      <c r="ASY3" s="319" t="s">
        <v>104</v>
      </c>
      <c r="ASZ3" s="319" t="s">
        <v>153</v>
      </c>
      <c r="ATA3" s="319" t="s">
        <v>330</v>
      </c>
      <c r="ATB3" s="319" t="s">
        <v>331</v>
      </c>
      <c r="ATC3" s="319" t="s">
        <v>338</v>
      </c>
      <c r="ATD3" s="319" t="s">
        <v>151</v>
      </c>
      <c r="ATE3" s="319" t="s">
        <v>347</v>
      </c>
      <c r="ATF3" s="319" t="s">
        <v>348</v>
      </c>
      <c r="ATG3" s="319" t="s">
        <v>333</v>
      </c>
      <c r="ATH3" s="319" t="s">
        <v>155</v>
      </c>
      <c r="ATI3" s="319" t="s">
        <v>349</v>
      </c>
      <c r="ATJ3" s="319" t="s">
        <v>332</v>
      </c>
      <c r="ATK3" s="319" t="s">
        <v>330</v>
      </c>
      <c r="ATL3" s="319" t="s">
        <v>350</v>
      </c>
      <c r="ATM3" s="319" t="s">
        <v>348</v>
      </c>
      <c r="ATN3" s="319" t="s">
        <v>333</v>
      </c>
      <c r="ATO3" s="319" t="s">
        <v>351</v>
      </c>
      <c r="ATP3" s="319"/>
      <c r="ATQ3" s="319" t="s">
        <v>346</v>
      </c>
      <c r="ATR3" s="319" t="s">
        <v>152</v>
      </c>
      <c r="ATS3" s="319" t="s">
        <v>104</v>
      </c>
      <c r="ATT3" s="319" t="s">
        <v>153</v>
      </c>
      <c r="ATU3" s="319" t="s">
        <v>330</v>
      </c>
      <c r="ATV3" s="319" t="s">
        <v>331</v>
      </c>
      <c r="ATW3" s="319" t="s">
        <v>338</v>
      </c>
      <c r="ATX3" s="319" t="s">
        <v>151</v>
      </c>
      <c r="ATY3" s="319" t="s">
        <v>347</v>
      </c>
      <c r="ATZ3" s="319" t="s">
        <v>348</v>
      </c>
      <c r="AUA3" s="319" t="s">
        <v>333</v>
      </c>
      <c r="AUB3" s="319" t="s">
        <v>155</v>
      </c>
      <c r="AUC3" s="319" t="s">
        <v>349</v>
      </c>
      <c r="AUD3" s="319" t="s">
        <v>332</v>
      </c>
      <c r="AUE3" s="319" t="s">
        <v>330</v>
      </c>
      <c r="AUF3" s="319" t="s">
        <v>347</v>
      </c>
      <c r="AUG3" s="319" t="s">
        <v>348</v>
      </c>
      <c r="AUH3" s="319" t="s">
        <v>333</v>
      </c>
      <c r="AUI3" s="319" t="s">
        <v>351</v>
      </c>
      <c r="AUJ3" s="319"/>
      <c r="AUK3" s="319" t="s">
        <v>346</v>
      </c>
      <c r="AUL3" s="319" t="s">
        <v>152</v>
      </c>
      <c r="AUM3" s="319" t="s">
        <v>104</v>
      </c>
      <c r="AUN3" s="319" t="s">
        <v>153</v>
      </c>
      <c r="AUO3" s="319" t="s">
        <v>330</v>
      </c>
      <c r="AUP3" s="319" t="s">
        <v>331</v>
      </c>
      <c r="AUQ3" s="319" t="s">
        <v>338</v>
      </c>
      <c r="AUR3" s="319" t="s">
        <v>151</v>
      </c>
      <c r="AUS3" s="319" t="s">
        <v>347</v>
      </c>
      <c r="AUT3" s="319" t="s">
        <v>348</v>
      </c>
      <c r="AUU3" s="319" t="s">
        <v>333</v>
      </c>
      <c r="AUV3" s="319" t="s">
        <v>155</v>
      </c>
      <c r="AUW3" s="319" t="s">
        <v>349</v>
      </c>
      <c r="AUX3" s="319" t="s">
        <v>332</v>
      </c>
      <c r="AUY3" s="319" t="s">
        <v>330</v>
      </c>
      <c r="AUZ3" s="319" t="s">
        <v>347</v>
      </c>
      <c r="AVA3" s="319" t="s">
        <v>348</v>
      </c>
      <c r="AVB3" s="319" t="s">
        <v>333</v>
      </c>
      <c r="AVC3" s="319" t="s">
        <v>351</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101</v>
      </c>
      <c r="AWE3" s="319">
        <v>1</v>
      </c>
      <c r="AWF3" s="319"/>
      <c r="AWG3" s="319"/>
      <c r="AWH3" s="319"/>
      <c r="AWI3" s="319" t="s">
        <v>152</v>
      </c>
      <c r="AWJ3" s="319" t="s">
        <v>104</v>
      </c>
      <c r="AWK3" s="319" t="s">
        <v>153</v>
      </c>
      <c r="AWL3" s="319" t="s">
        <v>330</v>
      </c>
      <c r="AWM3" s="319" t="s">
        <v>331</v>
      </c>
      <c r="AWN3" s="319" t="s">
        <v>338</v>
      </c>
      <c r="AWO3" s="319" t="s">
        <v>260</v>
      </c>
      <c r="AWP3" s="319" t="s">
        <v>339</v>
      </c>
      <c r="AWQ3" s="319" t="s">
        <v>340</v>
      </c>
      <c r="AWR3" s="319"/>
      <c r="AWS3" s="319" t="s">
        <v>341</v>
      </c>
      <c r="AWT3" s="319"/>
      <c r="AWU3" s="319"/>
      <c r="AWV3" s="319" t="s">
        <v>342</v>
      </c>
      <c r="AWW3" s="319" t="s">
        <v>343</v>
      </c>
      <c r="AWX3" s="319" t="s">
        <v>344</v>
      </c>
      <c r="AWY3" s="319" t="s">
        <v>345</v>
      </c>
      <c r="AWZ3" s="319"/>
      <c r="AXA3" s="319" t="s">
        <v>346</v>
      </c>
      <c r="AXB3" s="319" t="s">
        <v>152</v>
      </c>
      <c r="AXC3" s="319" t="s">
        <v>104</v>
      </c>
      <c r="AXD3" s="319" t="s">
        <v>153</v>
      </c>
      <c r="AXE3" s="319" t="s">
        <v>330</v>
      </c>
      <c r="AXF3" s="319" t="s">
        <v>331</v>
      </c>
      <c r="AXG3" s="319" t="s">
        <v>338</v>
      </c>
      <c r="AXH3" s="319" t="s">
        <v>151</v>
      </c>
      <c r="AXI3" s="319" t="s">
        <v>347</v>
      </c>
      <c r="AXJ3" s="319" t="s">
        <v>348</v>
      </c>
      <c r="AXK3" s="319" t="s">
        <v>333</v>
      </c>
      <c r="AXL3" s="319" t="s">
        <v>155</v>
      </c>
      <c r="AXM3" s="319" t="s">
        <v>349</v>
      </c>
      <c r="AXN3" s="319" t="s">
        <v>332</v>
      </c>
      <c r="AXO3" s="319" t="s">
        <v>330</v>
      </c>
      <c r="AXP3" s="319" t="s">
        <v>350</v>
      </c>
      <c r="AXQ3" s="319" t="s">
        <v>348</v>
      </c>
      <c r="AXR3" s="319" t="s">
        <v>333</v>
      </c>
      <c r="AXS3" s="319" t="s">
        <v>351</v>
      </c>
      <c r="AXT3" s="319"/>
      <c r="AXU3" s="319" t="s">
        <v>346</v>
      </c>
      <c r="AXV3" s="319" t="s">
        <v>152</v>
      </c>
      <c r="AXW3" s="319" t="s">
        <v>104</v>
      </c>
      <c r="AXX3" s="319" t="s">
        <v>153</v>
      </c>
      <c r="AXY3" s="319" t="s">
        <v>330</v>
      </c>
      <c r="AXZ3" s="319" t="s">
        <v>331</v>
      </c>
      <c r="AYA3" s="319" t="s">
        <v>338</v>
      </c>
      <c r="AYB3" s="319" t="s">
        <v>151</v>
      </c>
      <c r="AYC3" s="319" t="s">
        <v>347</v>
      </c>
      <c r="AYD3" s="319" t="s">
        <v>348</v>
      </c>
      <c r="AYE3" s="319" t="s">
        <v>333</v>
      </c>
      <c r="AYF3" s="319" t="s">
        <v>155</v>
      </c>
      <c r="AYG3" s="319" t="s">
        <v>349</v>
      </c>
      <c r="AYH3" s="319" t="s">
        <v>332</v>
      </c>
      <c r="AYI3" s="319" t="s">
        <v>330</v>
      </c>
      <c r="AYJ3" s="319" t="s">
        <v>350</v>
      </c>
      <c r="AYK3" s="319" t="s">
        <v>348</v>
      </c>
      <c r="AYL3" s="319" t="s">
        <v>333</v>
      </c>
      <c r="AYM3" s="319" t="s">
        <v>351</v>
      </c>
      <c r="AYN3" s="319"/>
      <c r="AYO3" s="319" t="s">
        <v>346</v>
      </c>
      <c r="AYP3" s="319" t="s">
        <v>152</v>
      </c>
      <c r="AYQ3" s="319" t="s">
        <v>104</v>
      </c>
      <c r="AYR3" s="319" t="s">
        <v>153</v>
      </c>
      <c r="AYS3" s="319" t="s">
        <v>330</v>
      </c>
      <c r="AYT3" s="319" t="s">
        <v>331</v>
      </c>
      <c r="AYU3" s="319" t="s">
        <v>338</v>
      </c>
      <c r="AYV3" s="319" t="s">
        <v>151</v>
      </c>
      <c r="AYW3" s="319" t="s">
        <v>347</v>
      </c>
      <c r="AYX3" s="319" t="s">
        <v>348</v>
      </c>
      <c r="AYY3" s="319" t="s">
        <v>333</v>
      </c>
      <c r="AYZ3" s="319" t="s">
        <v>155</v>
      </c>
      <c r="AZA3" s="319" t="s">
        <v>349</v>
      </c>
      <c r="AZB3" s="319" t="s">
        <v>332</v>
      </c>
      <c r="AZC3" s="319" t="s">
        <v>330</v>
      </c>
      <c r="AZD3" s="319" t="s">
        <v>347</v>
      </c>
      <c r="AZE3" s="319" t="s">
        <v>348</v>
      </c>
      <c r="AZF3" s="319" t="s">
        <v>333</v>
      </c>
      <c r="AZG3" s="319" t="s">
        <v>351</v>
      </c>
      <c r="AZH3" s="319"/>
      <c r="AZI3" s="319" t="s">
        <v>346</v>
      </c>
      <c r="AZJ3" s="319" t="s">
        <v>152</v>
      </c>
      <c r="AZK3" s="319" t="s">
        <v>104</v>
      </c>
      <c r="AZL3" s="319" t="s">
        <v>153</v>
      </c>
      <c r="AZM3" s="319" t="s">
        <v>330</v>
      </c>
      <c r="AZN3" s="319" t="s">
        <v>331</v>
      </c>
      <c r="AZO3" s="319" t="s">
        <v>338</v>
      </c>
      <c r="AZP3" s="319" t="s">
        <v>151</v>
      </c>
      <c r="AZQ3" s="319" t="s">
        <v>347</v>
      </c>
      <c r="AZR3" s="319" t="s">
        <v>348</v>
      </c>
      <c r="AZS3" s="319" t="s">
        <v>333</v>
      </c>
      <c r="AZT3" s="319" t="s">
        <v>155</v>
      </c>
      <c r="AZU3" s="319" t="s">
        <v>349</v>
      </c>
      <c r="AZV3" s="319" t="s">
        <v>332</v>
      </c>
      <c r="AZW3" s="319" t="s">
        <v>330</v>
      </c>
      <c r="AZX3" s="319" t="s">
        <v>347</v>
      </c>
      <c r="AZY3" s="319" t="s">
        <v>348</v>
      </c>
      <c r="AZZ3" s="319" t="s">
        <v>333</v>
      </c>
      <c r="BAA3" s="319" t="s">
        <v>351</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101</v>
      </c>
      <c r="BBC3" s="319">
        <v>1</v>
      </c>
      <c r="BBD3" s="319"/>
      <c r="BBE3" s="319"/>
      <c r="BBF3" s="319"/>
      <c r="BBG3" s="319" t="s">
        <v>152</v>
      </c>
      <c r="BBH3" s="319" t="s">
        <v>104</v>
      </c>
      <c r="BBI3" s="319" t="s">
        <v>153</v>
      </c>
      <c r="BBJ3" s="319" t="s">
        <v>330</v>
      </c>
      <c r="BBK3" s="319" t="s">
        <v>331</v>
      </c>
      <c r="BBL3" s="319" t="s">
        <v>338</v>
      </c>
      <c r="BBM3" s="319" t="s">
        <v>260</v>
      </c>
      <c r="BBN3" s="319" t="s">
        <v>339</v>
      </c>
      <c r="BBO3" s="319" t="s">
        <v>340</v>
      </c>
      <c r="BBP3" s="319"/>
      <c r="BBQ3" s="319" t="s">
        <v>341</v>
      </c>
      <c r="BBR3" s="319"/>
      <c r="BBS3" s="319"/>
      <c r="BBT3" s="319" t="s">
        <v>342</v>
      </c>
      <c r="BBU3" s="319" t="s">
        <v>343</v>
      </c>
      <c r="BBV3" s="319" t="s">
        <v>344</v>
      </c>
      <c r="BBW3" s="319" t="s">
        <v>345</v>
      </c>
      <c r="BBX3" s="319"/>
      <c r="BBY3" s="319" t="s">
        <v>346</v>
      </c>
      <c r="BBZ3" s="319" t="s">
        <v>152</v>
      </c>
      <c r="BCA3" s="319" t="s">
        <v>104</v>
      </c>
      <c r="BCB3" s="319" t="s">
        <v>153</v>
      </c>
      <c r="BCC3" s="319" t="s">
        <v>330</v>
      </c>
      <c r="BCD3" s="319" t="s">
        <v>331</v>
      </c>
      <c r="BCE3" s="319" t="s">
        <v>338</v>
      </c>
      <c r="BCF3" s="319" t="s">
        <v>151</v>
      </c>
      <c r="BCG3" s="319" t="s">
        <v>347</v>
      </c>
      <c r="BCH3" s="319" t="s">
        <v>348</v>
      </c>
      <c r="BCI3" s="319" t="s">
        <v>333</v>
      </c>
      <c r="BCJ3" s="319" t="s">
        <v>155</v>
      </c>
      <c r="BCK3" s="319" t="s">
        <v>349</v>
      </c>
      <c r="BCL3" s="319" t="s">
        <v>332</v>
      </c>
      <c r="BCM3" s="319" t="s">
        <v>330</v>
      </c>
      <c r="BCN3" s="319" t="s">
        <v>350</v>
      </c>
      <c r="BCO3" s="319" t="s">
        <v>348</v>
      </c>
      <c r="BCP3" s="319" t="s">
        <v>333</v>
      </c>
      <c r="BCQ3" s="319" t="s">
        <v>351</v>
      </c>
      <c r="BCR3" s="319"/>
      <c r="BCS3" s="319" t="s">
        <v>346</v>
      </c>
      <c r="BCT3" s="319" t="s">
        <v>152</v>
      </c>
      <c r="BCU3" s="319" t="s">
        <v>104</v>
      </c>
      <c r="BCV3" s="319" t="s">
        <v>153</v>
      </c>
      <c r="BCW3" s="319" t="s">
        <v>330</v>
      </c>
      <c r="BCX3" s="319" t="s">
        <v>331</v>
      </c>
      <c r="BCY3" s="319" t="s">
        <v>338</v>
      </c>
      <c r="BCZ3" s="319" t="s">
        <v>151</v>
      </c>
      <c r="BDA3" s="319" t="s">
        <v>347</v>
      </c>
      <c r="BDB3" s="319" t="s">
        <v>348</v>
      </c>
      <c r="BDC3" s="319" t="s">
        <v>333</v>
      </c>
      <c r="BDD3" s="319" t="s">
        <v>155</v>
      </c>
      <c r="BDE3" s="319" t="s">
        <v>349</v>
      </c>
      <c r="BDF3" s="319" t="s">
        <v>332</v>
      </c>
      <c r="BDG3" s="319" t="s">
        <v>330</v>
      </c>
      <c r="BDH3" s="319" t="s">
        <v>350</v>
      </c>
      <c r="BDI3" s="319" t="s">
        <v>348</v>
      </c>
      <c r="BDJ3" s="319" t="s">
        <v>333</v>
      </c>
      <c r="BDK3" s="319" t="s">
        <v>351</v>
      </c>
      <c r="BDL3" s="319"/>
      <c r="BDM3" s="319" t="s">
        <v>346</v>
      </c>
      <c r="BDN3" s="319" t="s">
        <v>152</v>
      </c>
      <c r="BDO3" s="319" t="s">
        <v>104</v>
      </c>
      <c r="BDP3" s="319" t="s">
        <v>153</v>
      </c>
      <c r="BDQ3" s="319" t="s">
        <v>330</v>
      </c>
      <c r="BDR3" s="319" t="s">
        <v>331</v>
      </c>
      <c r="BDS3" s="319" t="s">
        <v>338</v>
      </c>
      <c r="BDT3" s="319" t="s">
        <v>151</v>
      </c>
      <c r="BDU3" s="319" t="s">
        <v>347</v>
      </c>
      <c r="BDV3" s="319" t="s">
        <v>348</v>
      </c>
      <c r="BDW3" s="319" t="s">
        <v>333</v>
      </c>
      <c r="BDX3" s="319" t="s">
        <v>155</v>
      </c>
      <c r="BDY3" s="319" t="s">
        <v>349</v>
      </c>
      <c r="BDZ3" s="319" t="s">
        <v>332</v>
      </c>
      <c r="BEA3" s="319" t="s">
        <v>330</v>
      </c>
      <c r="BEB3" s="319" t="s">
        <v>347</v>
      </c>
      <c r="BEC3" s="319" t="s">
        <v>348</v>
      </c>
      <c r="BED3" s="319" t="s">
        <v>333</v>
      </c>
      <c r="BEE3" s="319" t="s">
        <v>351</v>
      </c>
      <c r="BEF3" s="319"/>
      <c r="BEG3" s="319" t="s">
        <v>346</v>
      </c>
      <c r="BEH3" s="319" t="s">
        <v>152</v>
      </c>
      <c r="BEI3" s="319" t="s">
        <v>104</v>
      </c>
      <c r="BEJ3" s="319" t="s">
        <v>153</v>
      </c>
      <c r="BEK3" s="319" t="s">
        <v>330</v>
      </c>
      <c r="BEL3" s="319" t="s">
        <v>331</v>
      </c>
      <c r="BEM3" s="319" t="s">
        <v>338</v>
      </c>
      <c r="BEN3" s="319" t="s">
        <v>151</v>
      </c>
      <c r="BEO3" s="319" t="s">
        <v>347</v>
      </c>
      <c r="BEP3" s="319" t="s">
        <v>348</v>
      </c>
      <c r="BEQ3" s="319" t="s">
        <v>333</v>
      </c>
      <c r="BER3" s="319" t="s">
        <v>155</v>
      </c>
      <c r="BES3" s="319" t="s">
        <v>349</v>
      </c>
      <c r="BET3" s="319" t="s">
        <v>332</v>
      </c>
      <c r="BEU3" s="319" t="s">
        <v>330</v>
      </c>
      <c r="BEV3" s="319" t="s">
        <v>347</v>
      </c>
      <c r="BEW3" s="319" t="s">
        <v>348</v>
      </c>
      <c r="BEX3" s="319" t="s">
        <v>333</v>
      </c>
      <c r="BEY3" s="319" t="s">
        <v>351</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101</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4</v>
      </c>
      <c r="DR4" s="319">
        <f>SUMPRODUCT((DQ3:DQ8=DQ4)*(DN3:DN8&gt;DN4))</f>
        <v>0</v>
      </c>
      <c r="DS4" s="319">
        <f>SUMPRODUCT((DQ3:DQ8=DQ4)*(DN3:DN8=DN4)*(DL3:DL8&gt;DL4))</f>
        <v>0</v>
      </c>
      <c r="DT4" s="319">
        <f>SUMPRODUCT((DQ3:DQ8=DQ4)*(DN3:DN8=DN4)*(DL3:DL8=DL4)*(DP3:DP8&gt;DP4))</f>
        <v>0</v>
      </c>
      <c r="DU4" s="319">
        <f t="shared" ref="DU4:DU8" si="163">SUM(DQ4:DT4)</f>
        <v>4</v>
      </c>
      <c r="DV4" s="319" t="s">
        <v>102</v>
      </c>
      <c r="DW4" s="319">
        <v>2</v>
      </c>
      <c r="DX4" s="319"/>
      <c r="DY4" s="319">
        <f ca="1">VLOOKUP(DZ4,HU4:HV8,2,FALSE)</f>
        <v>1</v>
      </c>
      <c r="DZ4" s="319" t="str">
        <f>B4</f>
        <v>Germany</v>
      </c>
      <c r="EA4" s="319">
        <f ca="1">SUMPRODUCT((HX3:HX42=DZ4)*(IB3:IB42="W"))+SUMPRODUCT((IA3:IA42=DZ4)*(IC3:IC42="W"))</f>
        <v>2</v>
      </c>
      <c r="EB4" s="319">
        <f ca="1">SUMPRODUCT((HX3:HX42=DZ4)*(IB3:IB42="D"))+SUMPRODUCT((IA3:IA42=DZ4)*(IC3:IC42="D"))</f>
        <v>1</v>
      </c>
      <c r="EC4" s="319">
        <f ca="1">SUMPRODUCT((HX3:HX42=DZ4)*(IB3:IB42="L"))+SUMPRODUCT((IA3:IA42=DZ4)*(IC3:IC42="L"))</f>
        <v>0</v>
      </c>
      <c r="ED4" s="319">
        <f ca="1">SUMIF(HX3:HX60,DZ4,HY3:HY60)+SUMIF(IA3:IA60,DZ4,HZ3:HZ60)</f>
        <v>8</v>
      </c>
      <c r="EE4" s="319">
        <f ca="1">SUMIF(IA3:IA60,DZ4,HY3:HY60)+SUMIF(HX3:HX60,DZ4,HZ3:HZ60)</f>
        <v>3</v>
      </c>
      <c r="EF4" s="319">
        <f ca="1">ED4-EE4+1000</f>
        <v>1005</v>
      </c>
      <c r="EG4" s="319">
        <f ca="1">EA4*3+EB4*1</f>
        <v>7</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4</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0</v>
      </c>
      <c r="II4" s="320">
        <f ca="1">VLOOKUP(IF4,DZ4:EE40,4,FALSE)</f>
        <v>2</v>
      </c>
      <c r="IJ4" s="320">
        <f ca="1">VLOOKUP(IF4,DZ4:EE40,5,FALSE)</f>
        <v>4</v>
      </c>
      <c r="IK4" s="320">
        <f ca="1">VLOOKUP(IF4,DZ4:EE40,6,FALSE)</f>
        <v>6</v>
      </c>
      <c r="IL4" s="320">
        <f t="shared" ref="IL4:IL8" ca="1" si="167">IJ4-IK4+1000</f>
        <v>998</v>
      </c>
      <c r="IM4" s="320">
        <f t="shared" ref="IM4:IM8" ca="1" si="168">IG4*3+IH4*1</f>
        <v>3</v>
      </c>
      <c r="IN4" s="319">
        <f ca="1">VLOOKUP(IF4,B4:J40,9,FALSE)</f>
        <v>40</v>
      </c>
      <c r="IO4" s="319">
        <f ca="1">RANK(IM4,IM3:IM8)</f>
        <v>4</v>
      </c>
      <c r="IP4" s="319">
        <f ca="1">SUMPRODUCT((IO3:IO8=IO4)*(IL3:IL8&gt;IL4))</f>
        <v>0</v>
      </c>
      <c r="IQ4" s="319">
        <f ca="1">SUMPRODUCT((IO3:IO8=IO4)*(IL3:IL8=IL4)*(IJ3:IJ8&gt;IJ4))</f>
        <v>0</v>
      </c>
      <c r="IR4" s="319">
        <f ca="1">SUMPRODUCT((IO3:IO8=IO4)*(IL3:IL8=IL4)*(IJ3:IJ8=IJ4)*(IN3:IN8&gt;IN4))</f>
        <v>0</v>
      </c>
      <c r="IS4" s="319">
        <f t="shared" ref="IS4:IS8" ca="1" si="169">SUM(IO4:IR4)</f>
        <v>4</v>
      </c>
      <c r="IT4" s="319" t="s">
        <v>102</v>
      </c>
      <c r="IU4" s="319">
        <v>2</v>
      </c>
      <c r="IV4" s="319"/>
      <c r="IW4" s="319">
        <f ca="1">VLOOKUP(IX4,MS4:MT8,2,FALSE)</f>
        <v>1</v>
      </c>
      <c r="IX4" s="319" t="str">
        <f>DZ4</f>
        <v>Germany</v>
      </c>
      <c r="IY4" s="319">
        <f ca="1">SUMPRODUCT((MV3:MV42=IX4)*(MZ3:MZ42="W"))+SUMPRODUCT((MY3:MY42=IX4)*(NA3:NA42="W"))</f>
        <v>2</v>
      </c>
      <c r="IZ4" s="319">
        <f ca="1">SUMPRODUCT((MV3:MV42=IX4)*(MZ3:MZ42="D"))+SUMPRODUCT((MY3:MY42=IX4)*(NA3:NA42="D"))</f>
        <v>1</v>
      </c>
      <c r="JA4" s="319">
        <f ca="1">SUMPRODUCT((MV3:MV42=IX4)*(MZ3:MZ42="L"))+SUMPRODUCT((MY3:MY42=IX4)*(NA3:NA42="L"))</f>
        <v>0</v>
      </c>
      <c r="JB4" s="319">
        <f ca="1">SUMIF(MV3:MV60,IX4,MW3:MW60)+SUMIF(MY3:MY60,IX4,MX3:MX60)</f>
        <v>9</v>
      </c>
      <c r="JC4" s="319">
        <f ca="1">SUMIF(MY3:MY60,IX4,MW3:MW60)+SUMIF(MV3:MV60,IX4,MX3:MX60)</f>
        <v>2</v>
      </c>
      <c r="JD4" s="319">
        <f ca="1">JB4-JC4+1000</f>
        <v>1007</v>
      </c>
      <c r="JE4" s="319">
        <f ca="1">IY4*3+IZ4*1</f>
        <v>7</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Croatia</v>
      </c>
      <c r="NE4" s="320">
        <f ca="1">VLOOKUP(ND4,IX4:JC40,2,FALSE)</f>
        <v>1</v>
      </c>
      <c r="NF4" s="320">
        <f ca="1">VLOOKUP(ND4,IX4:JC40,3,FALSE)</f>
        <v>1</v>
      </c>
      <c r="NG4" s="320">
        <f ca="1">VLOOKUP(ND4,IX4:JC40,4,FALSE)</f>
        <v>1</v>
      </c>
      <c r="NH4" s="320">
        <f ca="1">VLOOKUP(ND4,IX4:JC40,5,FALSE)</f>
        <v>5</v>
      </c>
      <c r="NI4" s="320">
        <f ca="1">VLOOKUP(ND4,IX4:JC40,6,FALSE)</f>
        <v>3</v>
      </c>
      <c r="NJ4" s="320">
        <f t="shared" ref="NJ4:NJ8" ca="1" si="173">NH4-NI4+1000</f>
        <v>1002</v>
      </c>
      <c r="NK4" s="320">
        <f t="shared" ref="NK4:NK8" ca="1" si="174">NE4*3+NF4*1</f>
        <v>4</v>
      </c>
      <c r="NL4" s="319">
        <f ca="1">VLOOKUP(ND4,B4:J40,9,FALSE)</f>
        <v>40</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102</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7</v>
      </c>
      <c r="OA4" s="319">
        <f t="shared" ref="OA4" ca="1" si="182">SUMIF(RW3:RW60,NV4,RU3:RU60)+SUMIF(RT3:RT60,NV4,RV3:RV60)</f>
        <v>1</v>
      </c>
      <c r="OB4" s="319">
        <f t="shared" ref="OB4:OB7" ca="1" si="183">NZ4-OA4+1000</f>
        <v>1006</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2</v>
      </c>
      <c r="RV4" s="322">
        <f ca="1">IF(OFFSET('Player Game Board'!Q11,0,RU1)&lt;&gt;"",OFFSET('Player Game Board'!Q11,0,RU1),0)</f>
        <v>0</v>
      </c>
      <c r="RW4" s="319" t="str">
        <f t="shared" si="19"/>
        <v>Switzerland</v>
      </c>
      <c r="RX4" s="319" t="str">
        <f ca="1">IF(AND(OFFSET('Player Game Board'!P11,0,RU1)&lt;&gt;"",OFFSET('Player Game Board'!Q11,0,RU1)&lt;&gt;""),IF(RU4&gt;RV4,"W",IF(RU4=RV4,"D","L")),"")</f>
        <v>W</v>
      </c>
      <c r="RY4" s="319" t="str">
        <f t="shared" ca="1" si="20"/>
        <v>L</v>
      </c>
      <c r="RZ4" s="319"/>
      <c r="SA4" s="319"/>
      <c r="SB4" s="319" t="str">
        <f t="shared" ref="SB4" ca="1" si="213">VLOOKUP(3,NU11:NV14,2,FALSE)</f>
        <v>Croatia</v>
      </c>
      <c r="SC4" s="320">
        <f t="shared" ref="SC4" ca="1" si="214">VLOOKUP(SB4,NV4:OA40,2,FALSE)</f>
        <v>1</v>
      </c>
      <c r="SD4" s="320">
        <f t="shared" ref="SD4" ca="1" si="215">VLOOKUP(SB4,NV4:OA40,3,FALSE)</f>
        <v>0</v>
      </c>
      <c r="SE4" s="320">
        <f t="shared" ref="SE4" ca="1" si="216">VLOOKUP(SB4,NV4:OA40,4,FALSE)</f>
        <v>2</v>
      </c>
      <c r="SF4" s="320">
        <f t="shared" ref="SF4" ca="1" si="217">VLOOKUP(SB4,NV4:OA40,5,FALSE)</f>
        <v>4</v>
      </c>
      <c r="SG4" s="320">
        <f t="shared" ref="SG4" ca="1" si="218">VLOOKUP(SB4,NV4:OA40,6,FALSE)</f>
        <v>4</v>
      </c>
      <c r="SH4" s="320">
        <f t="shared" ca="1" si="27"/>
        <v>1000</v>
      </c>
      <c r="SI4" s="320">
        <f t="shared" ca="1" si="28"/>
        <v>3</v>
      </c>
      <c r="SJ4" s="319">
        <f ca="1">VLOOKUP(SB4,B4:J40,9,FALSE)</f>
        <v>40</v>
      </c>
      <c r="SK4" s="319">
        <f t="shared" ref="SK4" ca="1" si="219">RANK(SI4,SI3:SI8)</f>
        <v>2</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2</v>
      </c>
      <c r="SP4" s="319" t="s">
        <v>102</v>
      </c>
      <c r="SQ4" s="319">
        <v>2</v>
      </c>
      <c r="SR4" s="319"/>
      <c r="SS4" s="319">
        <f t="shared" ref="SS4" ca="1" si="223">VLOOKUP(ST4,WO4:WP8,2,FALSE)</f>
        <v>1</v>
      </c>
      <c r="ST4" s="319" t="str">
        <f t="shared" ref="ST4:ST7" si="224">NV4</f>
        <v>Germany</v>
      </c>
      <c r="SU4" s="319">
        <f t="shared" ref="SU4" ca="1" si="225">SUMPRODUCT((WR3:WR42=ST4)*(WV3:WV42="W"))+SUMPRODUCT((WU3:WU42=ST4)*(WW3:WW42="W"))</f>
        <v>2</v>
      </c>
      <c r="SV4" s="319">
        <f t="shared" ref="SV4" ca="1" si="226">SUMPRODUCT((WR3:WR42=ST4)*(WV3:WV42="D"))+SUMPRODUCT((WU3:WU42=ST4)*(WW3:WW42="D"))</f>
        <v>1</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3</v>
      </c>
      <c r="SZ4" s="319">
        <f t="shared" ref="SZ4:SZ7" ca="1" si="230">SX4-SY4+1000</f>
        <v>1004</v>
      </c>
      <c r="TA4" s="319">
        <f t="shared" ref="TA4:TA7" ca="1" si="231">SU4*3+SV4*1</f>
        <v>7</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1</v>
      </c>
      <c r="WU4" s="319" t="str">
        <f t="shared" si="35"/>
        <v>Switzerland</v>
      </c>
      <c r="WV4" s="319" t="str">
        <f ca="1">IF(AND(OFFSET('Player Game Board'!P11,0,WS1)&lt;&gt;"",OFFSET('Player Game Board'!Q11,0,WS1)&lt;&gt;""),IF(WS4&gt;WT4,"W",IF(WS4=WT4,"D","L")),"")</f>
        <v>D</v>
      </c>
      <c r="WW4" s="319" t="str">
        <f t="shared" ca="1" si="36"/>
        <v>D</v>
      </c>
      <c r="WX4" s="319"/>
      <c r="WY4" s="319"/>
      <c r="WZ4" s="319" t="str">
        <f t="shared" ref="WZ4" ca="1" si="260">VLOOKUP(3,SS11:ST14,2,FALSE)</f>
        <v>Croatia</v>
      </c>
      <c r="XA4" s="320">
        <f t="shared" ref="XA4" ca="1" si="261">VLOOKUP(WZ4,ST4:SY40,2,FALSE)</f>
        <v>1</v>
      </c>
      <c r="XB4" s="320">
        <f t="shared" ref="XB4" ca="1" si="262">VLOOKUP(WZ4,ST4:SY40,3,FALSE)</f>
        <v>0</v>
      </c>
      <c r="XC4" s="320">
        <f t="shared" ref="XC4" ca="1" si="263">VLOOKUP(WZ4,ST4:SY40,4,FALSE)</f>
        <v>2</v>
      </c>
      <c r="XD4" s="320">
        <f t="shared" ref="XD4" ca="1" si="264">VLOOKUP(WZ4,ST4:SY40,5,FALSE)</f>
        <v>4</v>
      </c>
      <c r="XE4" s="320">
        <f t="shared" ref="XE4" ca="1" si="265">VLOOKUP(WZ4,ST4:SY40,6,FALSE)</f>
        <v>4</v>
      </c>
      <c r="XF4" s="320">
        <f t="shared" ca="1" si="43"/>
        <v>1000</v>
      </c>
      <c r="XG4" s="320">
        <f t="shared" ca="1" si="44"/>
        <v>3</v>
      </c>
      <c r="XH4" s="319">
        <f ca="1">VLOOKUP(WZ4,B4:J40,9,FALSE)</f>
        <v>40</v>
      </c>
      <c r="XI4" s="319">
        <f t="shared" ref="XI4" ca="1" si="266">RANK(XG4,XG3:XG8)</f>
        <v>3</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3</v>
      </c>
      <c r="XN4" s="319" t="s">
        <v>102</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9</v>
      </c>
      <c r="XW4" s="319">
        <f t="shared" ref="XW4" ca="1" si="276">SUMIF(ABS3:ABS60,XR4,ABQ3:ABQ60)+SUMIF(ABP3:ABP60,XR4,ABR3:ABR60)</f>
        <v>1</v>
      </c>
      <c r="XX4" s="319">
        <f t="shared" ref="XX4:XX7" ca="1" si="277">XV4-XW4+1000</f>
        <v>1008</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Spain</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51</v>
      </c>
      <c r="ACG4" s="319">
        <f t="shared" ref="ACG4" ca="1" si="313">RANK(ACE4,ACE3:ACE8)</f>
        <v>1</v>
      </c>
      <c r="ACH4" s="319">
        <f t="shared" ref="ACH4" ca="1" si="314">SUMPRODUCT((ACG3:ACG8=ACG4)*(ACD3:ACD8&gt;ACD4))</f>
        <v>0</v>
      </c>
      <c r="ACI4" s="319">
        <f t="shared" ref="ACI4" ca="1" si="315">SUMPRODUCT((ACG3:ACG8=ACG4)*(ACD3:ACD8=ACD4)*(ACB3:ACB8&gt;ACB4))</f>
        <v>1</v>
      </c>
      <c r="ACJ4" s="319">
        <f t="shared" ref="ACJ4" ca="1" si="316">SUMPRODUCT((ACG3:ACG8=ACG4)*(ACD3:ACD8=ACD4)*(ACB3:ACB8=ACB4)*(ACF3:ACF8&gt;ACF4))</f>
        <v>0</v>
      </c>
      <c r="ACK4" s="319">
        <f t="shared" ca="1" si="65"/>
        <v>2</v>
      </c>
      <c r="ACL4" s="319" t="s">
        <v>102</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7</v>
      </c>
      <c r="ACU4" s="319">
        <f t="shared" ref="ACU4" ca="1" si="323">SUMIF(AGQ3:AGQ60,ACP4,AGO3:AGO60)+SUMIF(AGN3:AGN60,ACP4,AGP3:AGP60)</f>
        <v>2</v>
      </c>
      <c r="ACV4" s="319">
        <f t="shared" ref="ACV4:ACV7" ca="1" si="324">ACT4-ACU4+1000</f>
        <v>1005</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Switzerland</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2</v>
      </c>
      <c r="AGQ4" s="319" t="str">
        <f t="shared" si="67"/>
        <v>Switzerland</v>
      </c>
      <c r="AGR4" s="319" t="str">
        <f ca="1">IF(AND(OFFSET('Player Game Board'!P11,0,AGO1)&lt;&gt;"",OFFSET('Player Game Board'!Q11,0,AGO1)&lt;&gt;""),IF(AGO4&gt;AGP4,"W",IF(AGO4=AGP4,"D","L")),"")</f>
        <v>L</v>
      </c>
      <c r="AGS4" s="319" t="str">
        <f t="shared" ca="1" si="68"/>
        <v>W</v>
      </c>
      <c r="AGT4" s="319"/>
      <c r="AGU4" s="319"/>
      <c r="AGV4" s="319" t="str">
        <f t="shared" ref="AGV4" ca="1" si="354">VLOOKUP(3,ACO11:ACP14,2,FALSE)</f>
        <v>Croatia</v>
      </c>
      <c r="AGW4" s="320">
        <f t="shared" ref="AGW4" ca="1" si="355">VLOOKUP(AGV4,ACP4:ACU40,2,FALSE)</f>
        <v>1</v>
      </c>
      <c r="AGX4" s="320">
        <f t="shared" ref="AGX4" ca="1" si="356">VLOOKUP(AGV4,ACP4:ACU40,3,FALSE)</f>
        <v>0</v>
      </c>
      <c r="AGY4" s="320">
        <f t="shared" ref="AGY4" ca="1" si="357">VLOOKUP(AGV4,ACP4:ACU40,4,FALSE)</f>
        <v>2</v>
      </c>
      <c r="AGZ4" s="320">
        <f t="shared" ref="AGZ4" ca="1" si="358">VLOOKUP(AGV4,ACP4:ACU40,5,FALSE)</f>
        <v>4</v>
      </c>
      <c r="AHA4" s="320">
        <f t="shared" ref="AHA4" ca="1" si="359">VLOOKUP(AGV4,ACP4:ACU40,6,FALSE)</f>
        <v>4</v>
      </c>
      <c r="AHB4" s="320">
        <f t="shared" ca="1" si="75"/>
        <v>1000</v>
      </c>
      <c r="AHC4" s="320">
        <f t="shared" ca="1" si="76"/>
        <v>3</v>
      </c>
      <c r="AHD4" s="319">
        <f ca="1">VLOOKUP(AGV4,B4:J40,9,FALSE)</f>
        <v>40</v>
      </c>
      <c r="AHE4" s="319">
        <f t="shared" ref="AHE4" ca="1" si="360">RANK(AHC4,AHC3:AHC8)</f>
        <v>3</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3</v>
      </c>
      <c r="AHJ4" s="319" t="s">
        <v>102</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8</v>
      </c>
      <c r="AHS4" s="319">
        <f t="shared" ref="AHS4" ca="1" si="370">SUMIF(ALO3:ALO60,AHN4,ALM3:ALM60)+SUMIF(ALL3:ALL60,AHN4,ALN3:ALN60)</f>
        <v>1</v>
      </c>
      <c r="AHT4" s="319">
        <f t="shared" ref="AHT4:AHT7" ca="1" si="371">AHR4-AHS4+1000</f>
        <v>1007</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Scotland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1</v>
      </c>
      <c r="ALN4" s="322">
        <f ca="1">IF(OFFSET('Player Game Board'!Q11,0,ALM1)&lt;&gt;"",OFFSET('Player Game Board'!Q11,0,ALM1),0)</f>
        <v>3</v>
      </c>
      <c r="ALO4" s="319" t="str">
        <f t="shared" si="83"/>
        <v>Switzerland</v>
      </c>
      <c r="ALP4" s="319" t="str">
        <f ca="1">IF(AND(OFFSET('Player Game Board'!P11,0,ALM1)&lt;&gt;"",OFFSET('Player Game Board'!Q11,0,ALM1)&lt;&gt;""),IF(ALM4&gt;ALN4,"W",IF(ALM4=ALN4,"D","L")),"")</f>
        <v>L</v>
      </c>
      <c r="ALQ4" s="319" t="str">
        <f t="shared" ca="1" si="84"/>
        <v>W</v>
      </c>
      <c r="ALR4" s="319"/>
      <c r="ALS4" s="319"/>
      <c r="ALT4" s="319" t="str">
        <f t="shared" ref="ALT4" ca="1" si="401">VLOOKUP(3,AHM11:AHN14,2,FALSE)</f>
        <v>Italy</v>
      </c>
      <c r="ALU4" s="320">
        <f t="shared" ref="ALU4" ca="1" si="402">VLOOKUP(ALT4,AHN4:AHS40,2,FALSE)</f>
        <v>1</v>
      </c>
      <c r="ALV4" s="320">
        <f t="shared" ref="ALV4" ca="1" si="403">VLOOKUP(ALT4,AHN4:AHS40,3,FALSE)</f>
        <v>1</v>
      </c>
      <c r="ALW4" s="320">
        <f t="shared" ref="ALW4" ca="1" si="404">VLOOKUP(ALT4,AHN4:AHS40,4,FALSE)</f>
        <v>1</v>
      </c>
      <c r="ALX4" s="320">
        <f t="shared" ref="ALX4" ca="1" si="405">VLOOKUP(ALT4,AHN4:AHS40,5,FALSE)</f>
        <v>7</v>
      </c>
      <c r="ALY4" s="320">
        <f t="shared" ref="ALY4" ca="1" si="406">VLOOKUP(ALT4,AHN4:AHS40,6,FALSE)</f>
        <v>3</v>
      </c>
      <c r="ALZ4" s="320">
        <f t="shared" ca="1" si="91"/>
        <v>1004</v>
      </c>
      <c r="AMA4" s="320">
        <f t="shared" ca="1" si="92"/>
        <v>4</v>
      </c>
      <c r="AMB4" s="319">
        <f ca="1">VLOOKUP(ALT4,B4:J40,9,FALSE)</f>
        <v>36</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0</v>
      </c>
      <c r="AMG4" s="319">
        <f t="shared" ca="1" si="97"/>
        <v>1</v>
      </c>
      <c r="AMH4" s="319" t="s">
        <v>102</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102</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102</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102</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102</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3</v>
      </c>
      <c r="DR5" s="319">
        <f>SUMPRODUCT((DQ3:DQ8=DQ5)*(DN3:DN8&gt;DN5))</f>
        <v>0</v>
      </c>
      <c r="DS5" s="319">
        <f>SUMPRODUCT((DQ3:DQ8=DQ5)*(DN3:DN8=DN5)*(DL3:DL8&gt;DL5))</f>
        <v>0</v>
      </c>
      <c r="DT5" s="319">
        <f>SUMPRODUCT((DQ3:DQ8=DQ5)*(DN3:DN8=DN5)*(DL3:DL8=DL5)*(DP3:DP8&gt;DP5))</f>
        <v>0</v>
      </c>
      <c r="DU5" s="319">
        <f t="shared" si="163"/>
        <v>3</v>
      </c>
      <c r="DV5" s="319" t="s">
        <v>103</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6</v>
      </c>
      <c r="EE5" s="319">
        <f ca="1">SUMIF(IA3:IA60,DZ5,HY3:HY60)+SUMIF(HX3:HX60,DZ5,HZ3:HZ60)</f>
        <v>6</v>
      </c>
      <c r="EF5" s="319">
        <f t="shared" ref="EF5:EF7" ca="1" si="607">ED5-EE5+1000</f>
        <v>1000</v>
      </c>
      <c r="EG5" s="319">
        <f t="shared" ref="EG5:EG7" ca="1" si="608">EA5*3+EB5*1</f>
        <v>4</v>
      </c>
      <c r="EH5" s="319">
        <f t="shared" ref="EH5:EH40" si="609">J5</f>
        <v>43</v>
      </c>
      <c r="EI5" s="319">
        <f ca="1">IF(COUNTIF(EG4:EG8,4)&lt;&gt;4,RANK(EG5,EG4:EG8),EG45)</f>
        <v>3</v>
      </c>
      <c r="EJ5" s="319"/>
      <c r="EK5" s="319">
        <f ca="1">SUMPRODUCT((EI4:EI7=EI5)*(EH4:EH7&lt;EH5))+EI5</f>
        <v>3</v>
      </c>
      <c r="EL5" s="319" t="str">
        <f ca="1">INDEX(DZ4:DZ8,MATCH(2,EK4:EK8,0),0)</f>
        <v>Switzerland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3</v>
      </c>
      <c r="HZ5" s="322">
        <f ca="1">IF(OFFSET('Player Game Board'!Q12,0,HY1)&lt;&gt;"",OFFSET('Player Game Board'!Q12,0,HY1),0)</f>
        <v>0</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Slovenia</v>
      </c>
      <c r="IG5" s="320">
        <f ca="1">VLOOKUP(IF5,DZ4:EE40,2,FALSE)</f>
        <v>0</v>
      </c>
      <c r="IH5" s="320">
        <f ca="1">VLOOKUP(IF5,DZ4:EE40,3,FALSE)</f>
        <v>2</v>
      </c>
      <c r="II5" s="320">
        <f ca="1">VLOOKUP(IF5,DZ4:EE40,4,FALSE)</f>
        <v>1</v>
      </c>
      <c r="IJ5" s="320">
        <f ca="1">VLOOKUP(IF5,DZ4:EE40,5,FALSE)</f>
        <v>2</v>
      </c>
      <c r="IK5" s="320">
        <f ca="1">VLOOKUP(IF5,DZ4:EE40,6,FALSE)</f>
        <v>5</v>
      </c>
      <c r="IL5" s="320">
        <f t="shared" ca="1" si="167"/>
        <v>997</v>
      </c>
      <c r="IM5" s="320">
        <f t="shared" ca="1" si="168"/>
        <v>2</v>
      </c>
      <c r="IN5" s="319">
        <f ca="1">VLOOKUP(IF5,B4:J40,9,FALSE)</f>
        <v>39</v>
      </c>
      <c r="IO5" s="319">
        <f ca="1">RANK(IM5,IM3:IM8)</f>
        <v>5</v>
      </c>
      <c r="IP5" s="319">
        <f ca="1">SUMPRODUCT((IO3:IO8=IO5)*(IL3:IL8&gt;IL5))</f>
        <v>0</v>
      </c>
      <c r="IQ5" s="319">
        <f ca="1">SUMPRODUCT((IO3:IO8=IO5)*(IL3:IL8=IL5)*(IJ3:IJ8&gt;IJ5))</f>
        <v>0</v>
      </c>
      <c r="IR5" s="319">
        <f ca="1">SUMPRODUCT((IO3:IO8=IO5)*(IL3:IL8=IL5)*(IJ3:IJ8=IJ5)*(IN3:IN8&gt;IN5))</f>
        <v>0</v>
      </c>
      <c r="IS5" s="319">
        <f t="shared" ca="1" si="169"/>
        <v>5</v>
      </c>
      <c r="IT5" s="319" t="s">
        <v>103</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3</v>
      </c>
      <c r="JC5" s="319">
        <f ca="1">SUMIF(MY3:MY60,IX5,MW3:MW60)+SUMIF(MV3:MV60,IX5,MX3:MX60)</f>
        <v>4</v>
      </c>
      <c r="JD5" s="319">
        <f t="shared" ref="JD5:JD7" ca="1" si="616">JB5-JC5+1000</f>
        <v>999</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1</v>
      </c>
      <c r="MX5" s="322">
        <f ca="1">IF(OFFSET('Player Game Board'!Q12,0,MW1)&lt;&gt;"",OFFSET('Player Game Board'!Q12,0,MW1),0)</f>
        <v>0</v>
      </c>
      <c r="MY5" s="319" t="str">
        <f t="shared" si="171"/>
        <v>Croatia</v>
      </c>
      <c r="MZ5" s="319" t="str">
        <f ca="1">IF(AND(OFFSET('Player Game Board'!P12,0,MW1)&lt;&gt;"",OFFSET('Player Game Board'!Q12,0,MW1)&lt;&gt;""),IF(MW5&gt;MX5,"W",IF(MW5=MX5,"D","L")),"")</f>
        <v>W</v>
      </c>
      <c r="NA5" s="319" t="str">
        <f t="shared" ca="1" si="172"/>
        <v>L</v>
      </c>
      <c r="NB5" s="319"/>
      <c r="NC5" s="319"/>
      <c r="ND5" s="319" t="str">
        <f ca="1">VLOOKUP(3,IW18:IX21,2,FALSE)</f>
        <v>Slovenia</v>
      </c>
      <c r="NE5" s="320">
        <f ca="1">VLOOKUP(ND5,IX4:JC40,2,FALSE)</f>
        <v>0</v>
      </c>
      <c r="NF5" s="320">
        <f ca="1">VLOOKUP(ND5,IX4:JC40,3,FALSE)</f>
        <v>2</v>
      </c>
      <c r="NG5" s="320">
        <f ca="1">VLOOKUP(ND5,IX4:JC40,4,FALSE)</f>
        <v>1</v>
      </c>
      <c r="NH5" s="320">
        <f ca="1">VLOOKUP(ND5,IX4:JC40,5,FALSE)</f>
        <v>2</v>
      </c>
      <c r="NI5" s="320">
        <f ca="1">VLOOKUP(ND5,IX4:JC40,6,FALSE)</f>
        <v>3</v>
      </c>
      <c r="NJ5" s="320">
        <f t="shared" ca="1" si="173"/>
        <v>999</v>
      </c>
      <c r="NK5" s="320">
        <f t="shared" ca="1" si="174"/>
        <v>2</v>
      </c>
      <c r="NL5" s="319">
        <f ca="1">VLOOKUP(ND5,B4:J40,9,FALSE)</f>
        <v>39</v>
      </c>
      <c r="NM5" s="319">
        <f ca="1">RANK(NK5,NK3:NK8)</f>
        <v>3</v>
      </c>
      <c r="NN5" s="319">
        <f ca="1">SUMPRODUCT((NM3:NM8=NM5)*(NJ3:NJ8&gt;NJ5))</f>
        <v>0</v>
      </c>
      <c r="NO5" s="319">
        <f ca="1">SUMPRODUCT((NM3:NM8=NM5)*(NJ3:NJ8=NJ5)*(NH3:NH8&gt;NH5))</f>
        <v>3</v>
      </c>
      <c r="NP5" s="319">
        <f ca="1">SUMPRODUCT((NM3:NM8=NM5)*(NJ3:NJ8=NJ5)*(NH3:NH8=NH5)*(NL3:NL8&gt;NL5))</f>
        <v>0</v>
      </c>
      <c r="NQ5" s="319">
        <f t="shared" ca="1" si="175"/>
        <v>6</v>
      </c>
      <c r="NR5" s="319" t="s">
        <v>103</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1</v>
      </c>
      <c r="NY5" s="319">
        <f t="shared" ref="NY5" ca="1" si="627">SUMPRODUCT((RT3:RT42=NV5)*(RX3:RX42="L"))+SUMPRODUCT((RW3:RW42=NV5)*(RY3:RY42="L"))</f>
        <v>2</v>
      </c>
      <c r="NZ5" s="319">
        <f t="shared" ref="NZ5" ca="1" si="628">SUMIF(RT3:RT60,NV5,RU3:RU60)+SUMIF(RW3:RW60,NV5,RV3:RV60)</f>
        <v>0</v>
      </c>
      <c r="OA5" s="319">
        <f t="shared" ref="OA5" ca="1" si="629">SUMIF(RW3:RW60,NV5,RU3:RU60)+SUMIF(RT3:RT60,NV5,RV3:RV60)</f>
        <v>4</v>
      </c>
      <c r="OB5" s="319">
        <f t="shared" ca="1" si="183"/>
        <v>996</v>
      </c>
      <c r="OC5" s="319">
        <f t="shared" ca="1" si="184"/>
        <v>1</v>
      </c>
      <c r="OD5" s="319">
        <f t="shared" ref="OD5:OD40" si="630">JF5</f>
        <v>43</v>
      </c>
      <c r="OE5" s="319">
        <f t="shared" ref="OE5" ca="1" si="631">IF(COUNTIF(OC4:OC8,4)&lt;&gt;4,RANK(OC5,OC4:OC8),OC45)</f>
        <v>3</v>
      </c>
      <c r="OF5" s="319"/>
      <c r="OG5" s="319">
        <f t="shared" ref="OG5" ca="1" si="632">SUMPRODUCT((OE4:OE7=OE5)*(OD4:OD7&lt;OD5))+OE5</f>
        <v>4</v>
      </c>
      <c r="OH5" s="319" t="str">
        <f t="shared" ref="OH5" ca="1" si="633">INDEX(NV4:NV8,MATCH(2,OG4:OG8,0),0)</f>
        <v>Hungary</v>
      </c>
      <c r="OI5" s="319">
        <f t="shared" ref="OI5" ca="1" si="634">INDEX(OE4:OE8,MATCH(OH5,NV4:NV8,0),0)</f>
        <v>2</v>
      </c>
      <c r="OJ5" s="319" t="str">
        <f t="shared" ref="OJ5" ca="1" si="635">IF(OJ4&lt;&gt;"",OH5,"")</f>
        <v/>
      </c>
      <c r="OK5" s="319" t="str">
        <f t="shared" ref="OK5" ca="1" si="636">IF(OK4&lt;&gt;"",OH6,"")</f>
        <v/>
      </c>
      <c r="OL5" s="319" t="str">
        <f t="shared" ref="OL5" ca="1" si="637">IF(OL4&lt;&gt;"",OH7,"")</f>
        <v>Scotland</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2</v>
      </c>
      <c r="RV5" s="322">
        <f ca="1">IF(OFFSET('Player Game Board'!Q12,0,RU1)&lt;&gt;"",OFFSET('Player Game Board'!Q12,0,RU1),0)</f>
        <v>1</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Denmark</v>
      </c>
      <c r="SC5" s="320">
        <f t="shared" ref="SC5" ca="1" si="675">VLOOKUP(SB5,NV4:OA40,2,FALSE)</f>
        <v>1</v>
      </c>
      <c r="SD5" s="320">
        <f t="shared" ref="SD5" ca="1" si="676">VLOOKUP(SB5,NV4:OA40,3,FALSE)</f>
        <v>1</v>
      </c>
      <c r="SE5" s="320">
        <f t="shared" ref="SE5" ca="1" si="677">VLOOKUP(SB5,NV4:OA40,4,FALSE)</f>
        <v>1</v>
      </c>
      <c r="SF5" s="320">
        <f t="shared" ref="SF5" ca="1" si="678">VLOOKUP(SB5,NV4:OA40,5,FALSE)</f>
        <v>3</v>
      </c>
      <c r="SG5" s="320">
        <f t="shared" ref="SG5" ca="1" si="679">VLOOKUP(SB5,NV4:OA40,6,FALSE)</f>
        <v>3</v>
      </c>
      <c r="SH5" s="320">
        <f t="shared" ca="1" si="27"/>
        <v>1000</v>
      </c>
      <c r="SI5" s="320">
        <f t="shared" ca="1" si="28"/>
        <v>4</v>
      </c>
      <c r="SJ5" s="319">
        <f ca="1">VLOOKUP(SB5,B4:J40,9,FALSE)</f>
        <v>45</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0</v>
      </c>
      <c r="SO5" s="319">
        <f t="shared" ca="1" si="33"/>
        <v>1</v>
      </c>
      <c r="SP5" s="319" t="s">
        <v>103</v>
      </c>
      <c r="SQ5" s="319">
        <v>3</v>
      </c>
      <c r="SR5" s="319"/>
      <c r="SS5" s="319">
        <f t="shared" ref="SS5" ca="1" si="684">VLOOKUP(ST5,WO4:WP8,2,FALSE)</f>
        <v>3</v>
      </c>
      <c r="ST5" s="319" t="str">
        <f t="shared" si="224"/>
        <v>Scotland</v>
      </c>
      <c r="SU5" s="319">
        <f t="shared" ref="SU5" ca="1" si="685">SUMPRODUCT((WR3:WR42=ST5)*(WV3:WV42="W"))+SUMPRODUCT((WU3:WU42=ST5)*(WW3:WW42="W"))</f>
        <v>1</v>
      </c>
      <c r="SV5" s="319">
        <f t="shared" ref="SV5" ca="1" si="686">SUMPRODUCT((WR3:WR42=ST5)*(WV3:WV42="D"))+SUMPRODUCT((WU3:WU42=ST5)*(WW3:WW42="D"))</f>
        <v>0</v>
      </c>
      <c r="SW5" s="319">
        <f t="shared" ref="SW5" ca="1" si="687">SUMPRODUCT((WR3:WR42=ST5)*(WV3:WV42="L"))+SUMPRODUCT((WU3:WU42=ST5)*(WW3:WW42="L"))</f>
        <v>2</v>
      </c>
      <c r="SX5" s="319">
        <f t="shared" ref="SX5" ca="1" si="688">SUMIF(WR3:WR60,ST5,WS3:WS60)+SUMIF(WU3:WU60,ST5,WT3:WT60)</f>
        <v>3</v>
      </c>
      <c r="SY5" s="319">
        <f t="shared" ref="SY5" ca="1" si="689">SUMIF(WU3:WU60,ST5,WS3:WS60)+SUMIF(WR3:WR60,ST5,WT3:WT60)</f>
        <v>4</v>
      </c>
      <c r="SZ5" s="319">
        <f t="shared" ca="1" si="230"/>
        <v>999</v>
      </c>
      <c r="TA5" s="319">
        <f t="shared" ca="1" si="231"/>
        <v>3</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2</v>
      </c>
      <c r="WT5" s="322">
        <f ca="1">IF(OFFSET('Player Game Board'!Q12,0,WS1)&lt;&gt;"",OFFSET('Player Game Board'!Q12,0,WS1),0)</f>
        <v>1</v>
      </c>
      <c r="WU5" s="319" t="str">
        <f t="shared" si="35"/>
        <v>Croatia</v>
      </c>
      <c r="WV5" s="319" t="str">
        <f ca="1">IF(AND(OFFSET('Player Game Board'!P12,0,WS1)&lt;&gt;"",OFFSET('Player Game Board'!Q12,0,WS1)&lt;&gt;""),IF(WS5&gt;WT5,"W",IF(WS5=WT5,"D","L")),"")</f>
        <v>W</v>
      </c>
      <c r="WW5" s="319" t="str">
        <f t="shared" ca="1" si="36"/>
        <v>L</v>
      </c>
      <c r="WX5" s="319"/>
      <c r="WY5" s="319"/>
      <c r="WZ5" s="319" t="str">
        <f t="shared" ref="WZ5" ca="1" si="734">VLOOKUP(3,SS18:ST21,2,FALSE)</f>
        <v>Slovenia</v>
      </c>
      <c r="XA5" s="320">
        <f t="shared" ref="XA5" ca="1" si="735">VLOOKUP(WZ5,ST4:SY40,2,FALSE)</f>
        <v>0</v>
      </c>
      <c r="XB5" s="320">
        <f t="shared" ref="XB5" ca="1" si="736">VLOOKUP(WZ5,ST4:SY40,3,FALSE)</f>
        <v>1</v>
      </c>
      <c r="XC5" s="320">
        <f t="shared" ref="XC5" ca="1" si="737">VLOOKUP(WZ5,ST4:SY40,4,FALSE)</f>
        <v>2</v>
      </c>
      <c r="XD5" s="320">
        <f t="shared" ref="XD5" ca="1" si="738">VLOOKUP(WZ5,ST4:SY40,5,FALSE)</f>
        <v>2</v>
      </c>
      <c r="XE5" s="320">
        <f t="shared" ref="XE5" ca="1" si="739">VLOOKUP(WZ5,ST4:SY40,6,FALSE)</f>
        <v>5</v>
      </c>
      <c r="XF5" s="320">
        <f t="shared" ca="1" si="43"/>
        <v>997</v>
      </c>
      <c r="XG5" s="320">
        <f t="shared" ca="1" si="44"/>
        <v>1</v>
      </c>
      <c r="XH5" s="319">
        <f ca="1">VLOOKUP(WZ5,B4:J40,9,FALSE)</f>
        <v>39</v>
      </c>
      <c r="XI5" s="319">
        <f t="shared" ref="XI5" ca="1" si="740">RANK(XG5,XG3:XG8)</f>
        <v>6</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6</v>
      </c>
      <c r="XN5" s="319" t="s">
        <v>103</v>
      </c>
      <c r="XO5" s="319">
        <v>3</v>
      </c>
      <c r="XP5" s="319"/>
      <c r="XQ5" s="319">
        <f t="shared" ref="XQ5" ca="1" si="744">VLOOKUP(XR5,ABM4:ABN8,2,FALSE)</f>
        <v>2</v>
      </c>
      <c r="XR5" s="319" t="str">
        <f t="shared" si="271"/>
        <v>Scotland</v>
      </c>
      <c r="XS5" s="319">
        <f t="shared" ref="XS5" ca="1" si="745">SUMPRODUCT((ABP3:ABP42=XR5)*(ABT3:ABT42="W"))+SUMPRODUCT((ABS3:ABS42=XR5)*(ABU3:ABU42="W"))</f>
        <v>2</v>
      </c>
      <c r="XT5" s="319">
        <f t="shared" ref="XT5" ca="1" si="746">SUMPRODUCT((ABP3:ABP42=XR5)*(ABT3:ABT42="D"))+SUMPRODUCT((ABS3:ABS42=XR5)*(ABU3:ABU42="D"))</f>
        <v>0</v>
      </c>
      <c r="XU5" s="319">
        <f t="shared" ref="XU5" ca="1" si="747">SUMPRODUCT((ABP3:ABP42=XR5)*(ABT3:ABT42="L"))+SUMPRODUCT((ABS3:ABS42=XR5)*(ABU3:ABU42="L"))</f>
        <v>1</v>
      </c>
      <c r="XV5" s="319">
        <f t="shared" ref="XV5" ca="1" si="748">SUMIF(ABP3:ABP60,XR5,ABQ3:ABQ60)+SUMIF(ABS3:ABS60,XR5,ABR3:ABR60)</f>
        <v>5</v>
      </c>
      <c r="XW5" s="319">
        <f t="shared" ref="XW5" ca="1" si="749">SUMIF(ABS3:ABS60,XR5,ABQ3:ABQ60)+SUMIF(ABP3:ABP60,XR5,ABR3:ABR60)</f>
        <v>5</v>
      </c>
      <c r="XX5" s="319">
        <f t="shared" ca="1" si="277"/>
        <v>1000</v>
      </c>
      <c r="XY5" s="319">
        <f t="shared" ca="1" si="278"/>
        <v>6</v>
      </c>
      <c r="XZ5" s="319">
        <f t="shared" ref="XZ5:XZ40" si="750">TB5</f>
        <v>43</v>
      </c>
      <c r="YA5" s="319">
        <f t="shared" ref="YA5" ca="1" si="751">IF(COUNTIF(XY4:XY8,4)&lt;&gt;4,RANK(XY5,XY4:XY8),XY45)</f>
        <v>2</v>
      </c>
      <c r="YB5" s="319"/>
      <c r="YC5" s="319">
        <f t="shared" ref="YC5" ca="1" si="752">SUMPRODUCT((YA4:YA7=YA5)*(XZ4:XZ7&lt;XZ5))+YA5</f>
        <v>2</v>
      </c>
      <c r="YD5" s="319" t="str">
        <f t="shared" ref="YD5" ca="1" si="753">INDEX(XR4:XR8,MATCH(2,YC4:YC8,0),0)</f>
        <v>Scotland</v>
      </c>
      <c r="YE5" s="319">
        <f t="shared" ref="YE5" ca="1" si="754">INDEX(YA4:YA8,MATCH(YD5,XR4:XR8,0),0)</f>
        <v>2</v>
      </c>
      <c r="YF5" s="319" t="str">
        <f t="shared" ref="YF5" ca="1" si="755">IF(YF4&lt;&gt;"",YD5,"")</f>
        <v/>
      </c>
      <c r="YG5" s="319" t="str">
        <f t="shared" ref="YG5" ca="1" si="756">IF(YG4&lt;&gt;"",YD6,"")</f>
        <v/>
      </c>
      <c r="YH5" s="319" t="str">
        <f t="shared" ref="YH5" ca="1" si="757">IF(YH4&lt;&gt;"",YD7,"")</f>
        <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Scotland</v>
      </c>
      <c r="ABN5" s="319">
        <v>2</v>
      </c>
      <c r="ABO5" s="319">
        <v>3</v>
      </c>
      <c r="ABP5" s="319" t="str">
        <f t="shared" si="50"/>
        <v>Spain</v>
      </c>
      <c r="ABQ5" s="322">
        <f ca="1">IF(OFFSET('Player Game Board'!P12,0,ABQ1)&lt;&gt;"",OFFSET('Player Game Board'!P12,0,ABQ1),0)</f>
        <v>1</v>
      </c>
      <c r="ABR5" s="322">
        <f ca="1">IF(OFFSET('Player Game Board'!Q12,0,ABQ1)&lt;&gt;"",OFFSET('Player Game Board'!Q12,0,ABQ1),0)</f>
        <v>1</v>
      </c>
      <c r="ABS5" s="319" t="str">
        <f t="shared" si="51"/>
        <v>Croatia</v>
      </c>
      <c r="ABT5" s="319" t="str">
        <f ca="1">IF(AND(OFFSET('Player Game Board'!P12,0,ABQ1)&lt;&gt;"",OFFSET('Player Game Board'!Q12,0,ABQ1)&lt;&gt;""),IF(ABQ5&gt;ABR5,"W",IF(ABQ5=ABR5,"D","L")),"")</f>
        <v>D</v>
      </c>
      <c r="ABU5" s="319" t="str">
        <f t="shared" ca="1" si="52"/>
        <v>D</v>
      </c>
      <c r="ABV5" s="319"/>
      <c r="ABW5" s="319"/>
      <c r="ABX5" s="319" t="str">
        <f t="shared" ref="ABX5" ca="1" si="794">VLOOKUP(3,XQ18:XR21,2,FALSE)</f>
        <v>Serbia</v>
      </c>
      <c r="ABY5" s="320">
        <f t="shared" ref="ABY5" ca="1" si="795">VLOOKUP(ABX5,XR4:XW40,2,FALSE)</f>
        <v>1</v>
      </c>
      <c r="ABZ5" s="320">
        <f t="shared" ref="ABZ5" ca="1" si="796">VLOOKUP(ABX5,XR4:XW40,3,FALSE)</f>
        <v>1</v>
      </c>
      <c r="ACA5" s="320">
        <f t="shared" ref="ACA5" ca="1" si="797">VLOOKUP(ABX5,XR4:XW40,4,FALSE)</f>
        <v>1</v>
      </c>
      <c r="ACB5" s="320">
        <f t="shared" ref="ACB5" ca="1" si="798">VLOOKUP(ABX5,XR4:XW40,5,FALSE)</f>
        <v>5</v>
      </c>
      <c r="ACC5" s="320">
        <f t="shared" ref="ACC5" ca="1" si="799">VLOOKUP(ABX5,XR4:XW40,6,FALSE)</f>
        <v>4</v>
      </c>
      <c r="ACD5" s="320">
        <f t="shared" ca="1" si="59"/>
        <v>1001</v>
      </c>
      <c r="ACE5" s="320">
        <f t="shared" ca="1" si="60"/>
        <v>4</v>
      </c>
      <c r="ACF5" s="319">
        <f ca="1">VLOOKUP(ABX5,B4:J40,9,FALSE)</f>
        <v>35</v>
      </c>
      <c r="ACG5" s="319">
        <f t="shared" ref="ACG5" ca="1" si="800">RANK(ACE5,ACE3:ACE8)</f>
        <v>1</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1</v>
      </c>
      <c r="ACL5" s="319" t="s">
        <v>103</v>
      </c>
      <c r="ACM5" s="319">
        <v>3</v>
      </c>
      <c r="ACN5" s="319"/>
      <c r="ACO5" s="319">
        <f t="shared" ref="ACO5" ca="1" si="804">VLOOKUP(ACP5,AGK4:AGL8,2,FALSE)</f>
        <v>3</v>
      </c>
      <c r="ACP5" s="319" t="str">
        <f t="shared" si="318"/>
        <v>Scotland</v>
      </c>
      <c r="ACQ5" s="319">
        <f t="shared" ref="ACQ5" ca="1" si="805">SUMPRODUCT((AGN3:AGN42=ACP5)*(AGR3:AGR42="W"))+SUMPRODUCT((AGQ3:AGQ42=ACP5)*(AGS3:AGS42="W"))</f>
        <v>1</v>
      </c>
      <c r="ACR5" s="319">
        <f t="shared" ref="ACR5" ca="1" si="806">SUMPRODUCT((AGN3:AGN42=ACP5)*(AGR3:AGR42="D"))+SUMPRODUCT((AGQ3:AGQ42=ACP5)*(AGS3:AGS42="D"))</f>
        <v>1</v>
      </c>
      <c r="ACS5" s="319">
        <f t="shared" ref="ACS5" ca="1" si="807">SUMPRODUCT((AGN3:AGN42=ACP5)*(AGR3:AGR42="L"))+SUMPRODUCT((AGQ3:AGQ42=ACP5)*(AGS3:AGS42="L"))</f>
        <v>1</v>
      </c>
      <c r="ACT5" s="319">
        <f t="shared" ref="ACT5" ca="1" si="808">SUMIF(AGN3:AGN60,ACP5,AGO3:AGO60)+SUMIF(AGQ3:AGQ60,ACP5,AGP3:AGP60)</f>
        <v>4</v>
      </c>
      <c r="ACU5" s="319">
        <f t="shared" ref="ACU5" ca="1" si="809">SUMIF(AGQ3:AGQ60,ACP5,AGO3:AGO60)+SUMIF(AGN3:AGN60,ACP5,AGP3:AGP60)</f>
        <v>5</v>
      </c>
      <c r="ACV5" s="319">
        <f t="shared" ca="1" si="324"/>
        <v>999</v>
      </c>
      <c r="ACW5" s="319">
        <f t="shared" ca="1" si="325"/>
        <v>4</v>
      </c>
      <c r="ACX5" s="319">
        <f t="shared" ref="ACX5:ACX40" si="810">XZ5</f>
        <v>43</v>
      </c>
      <c r="ACY5" s="319">
        <f t="shared" ref="ACY5" ca="1" si="811">IF(COUNTIF(ACW4:ACW8,4)&lt;&gt;4,RANK(ACW5,ACW4:ACW8),ACW45)</f>
        <v>2</v>
      </c>
      <c r="ACZ5" s="319"/>
      <c r="ADA5" s="319">
        <f t="shared" ref="ADA5" ca="1" si="812">SUMPRODUCT((ACY4:ACY7=ACY5)*(ACX4:ACX7&lt;ACX5))+ACY5</f>
        <v>3</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Scotland</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Switzerland</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19">
        <f t="shared" ref="AEI5:AEI7" ca="1" si="840">AEG5-AEH5+1000</f>
        <v>1000</v>
      </c>
      <c r="AEJ5" s="319">
        <f t="shared" ref="AEJ5:AEJ7" ca="1" si="841">IF(AEC5&lt;&gt;"",AED5*3+AEE5*1,"")</f>
        <v>1</v>
      </c>
      <c r="AEK5" s="319">
        <f t="shared" ref="AEK5" ca="1" si="842">IF(AEC5&lt;&gt;"",VLOOKUP(AEC5,ACP4:ACV40,7,FALSE),"")</f>
        <v>1000</v>
      </c>
      <c r="AEL5" s="319">
        <f t="shared" ref="AEL5" ca="1" si="843">IF(AEC5&lt;&gt;"",VLOOKUP(AEC5,ACP4:ACV40,5,FALSE),"")</f>
        <v>4</v>
      </c>
      <c r="AEM5" s="319">
        <f t="shared" ref="AEM5" ca="1" si="844">IF(AEC5&lt;&gt;"",VLOOKUP(AEC5,ACP4:ACX40,9,FALSE),"")</f>
        <v>34</v>
      </c>
      <c r="AEN5" s="319">
        <f t="shared" ref="AEN5:AEN7" ca="1" si="845">AEJ5</f>
        <v>1</v>
      </c>
      <c r="AEO5" s="319">
        <f t="shared" ref="AEO5" ca="1" si="846">IF(AEC5&lt;&gt;"",RANK(AEN5,AEN4:AEN8),"")</f>
        <v>1</v>
      </c>
      <c r="AEP5" s="319">
        <f t="shared" ref="AEP5" ca="1" si="847">IF(AEC5&lt;&gt;"",SUMPRODUCT((AEN4:AEN8=AEN5)*(AEI4:AEI8&gt;AEI5)),"")</f>
        <v>0</v>
      </c>
      <c r="AEQ5" s="319">
        <f t="shared" ref="AEQ5" ca="1" si="848">IF(AEC5&lt;&gt;"",SUMPRODUCT((AEN4:AEN8=AEN5)*(AEI4:AEI8=AEI5)*(AEG4:AEG8&gt;AEG5)),"")</f>
        <v>0</v>
      </c>
      <c r="AER5" s="319">
        <f t="shared" ref="AER5" ca="1" si="849">IF(AEC5&lt;&gt;"",SUMPRODUCT((AEN4:AEN8=AEN5)*(AEI4:AEI8=AEI5)*(AEG4:AEG8=AEG5)*(AEK4:AEK8&gt;AEK5)),"")</f>
        <v>0</v>
      </c>
      <c r="AES5" s="319">
        <f t="shared" ref="AES5" ca="1" si="850">IF(AEC5&lt;&gt;"",SUMPRODUCT((AEN4:AEN8=AEN5)*(AEI4:AEI8=AEI5)*(AEG4:AEG8=AEG5)*(AEK4:AEK8=AEK5)*(AEL4:AEL8&gt;AEL5)),"")</f>
        <v>0</v>
      </c>
      <c r="AET5" s="319">
        <f t="shared" ref="AET5" ca="1" si="851">IF(AEC5&lt;&gt;"",SUMPRODUCT((AEN4:AEN8=AEN5)*(AEI4:AEI8=AEI5)*(AEG4:AEG8=AEG5)*(AEK4:AEK8=AEK5)*(AEL4:AEL8=AEL5)*(AEM4:AEM8&gt;AEM5)),"")</f>
        <v>0</v>
      </c>
      <c r="AEU5" s="319">
        <f ca="1">IF(AEC5&lt;&gt;"",IF(AEU45&lt;&gt;"",IF(AEB43=3,AEU45,AEU45+AEB43),SUM(AEO5:AET5)+1),"")</f>
        <v>2</v>
      </c>
      <c r="AEV5" s="319" t="str">
        <f t="shared" ref="AEV5" ca="1" si="852">IF(AEC5&lt;&gt;"",INDEX(AEC5:AEC8,MATCH(2,AEU5:AEU8,0),0),"")</f>
        <v>Switzerland</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2</v>
      </c>
      <c r="AGP5" s="322">
        <f ca="1">IF(OFFSET('Player Game Board'!Q12,0,AGO1)&lt;&gt;"",OFFSET('Player Game Board'!Q12,0,AGO1),0)</f>
        <v>1</v>
      </c>
      <c r="AGQ5" s="319" t="str">
        <f t="shared" si="67"/>
        <v>Croatia</v>
      </c>
      <c r="AGR5" s="319" t="str">
        <f ca="1">IF(AND(OFFSET('Player Game Board'!P12,0,AGO1)&lt;&gt;"",OFFSET('Player Game Board'!Q12,0,AGO1)&lt;&gt;""),IF(AGO5&gt;AGP5,"W",IF(AGO5=AGP5,"D","L")),"")</f>
        <v>W</v>
      </c>
      <c r="AGS5" s="319" t="str">
        <f t="shared" ca="1" si="68"/>
        <v>L</v>
      </c>
      <c r="AGT5" s="319"/>
      <c r="AGU5" s="319"/>
      <c r="AGV5" s="319" t="str">
        <f t="shared" ref="AGV5" ca="1" si="854">VLOOKUP(3,ACO18:ACP21,2,FALSE)</f>
        <v>Serbia</v>
      </c>
      <c r="AGW5" s="320">
        <f t="shared" ref="AGW5" ca="1" si="855">VLOOKUP(AGV5,ACP4:ACU40,2,FALSE)</f>
        <v>1</v>
      </c>
      <c r="AGX5" s="320">
        <f t="shared" ref="AGX5" ca="1" si="856">VLOOKUP(AGV5,ACP4:ACU40,3,FALSE)</f>
        <v>0</v>
      </c>
      <c r="AGY5" s="320">
        <f t="shared" ref="AGY5" ca="1" si="857">VLOOKUP(AGV5,ACP4:ACU40,4,FALSE)</f>
        <v>2</v>
      </c>
      <c r="AGZ5" s="320">
        <f t="shared" ref="AGZ5" ca="1" si="858">VLOOKUP(AGV5,ACP4:ACU40,5,FALSE)</f>
        <v>4</v>
      </c>
      <c r="AHA5" s="320">
        <f t="shared" ref="AHA5" ca="1" si="859">VLOOKUP(AGV5,ACP4:ACU40,6,FALSE)</f>
        <v>6</v>
      </c>
      <c r="AHB5" s="320">
        <f t="shared" ca="1" si="75"/>
        <v>998</v>
      </c>
      <c r="AHC5" s="320">
        <f t="shared" ca="1" si="76"/>
        <v>3</v>
      </c>
      <c r="AHD5" s="319">
        <f ca="1">VLOOKUP(AGV5,B4:J40,9,FALSE)</f>
        <v>35</v>
      </c>
      <c r="AHE5" s="319">
        <f t="shared" ref="AHE5" ca="1" si="860">RANK(AHC5,AHC3:AHC8)</f>
        <v>3</v>
      </c>
      <c r="AHF5" s="319">
        <f t="shared" ref="AHF5" ca="1" si="861">SUMPRODUCT((AHE3:AHE8=AHE5)*(AHB3:AHB8&gt;AHB5))</f>
        <v>1</v>
      </c>
      <c r="AHG5" s="319">
        <f t="shared" ref="AHG5" ca="1" si="862">SUMPRODUCT((AHE3:AHE8=AHE5)*(AHB3:AHB8=AHB5)*(AGZ3:AGZ8&gt;AGZ5))</f>
        <v>0</v>
      </c>
      <c r="AHH5" s="319">
        <f t="shared" ref="AHH5" ca="1" si="863">SUMPRODUCT((AHE3:AHE8=AHE5)*(AHB3:AHB8=AHB5)*(AGZ3:AGZ8=AGZ5)*(AHD3:AHD8&gt;AHD5))</f>
        <v>0</v>
      </c>
      <c r="AHI5" s="319">
        <f t="shared" ca="1" si="81"/>
        <v>4</v>
      </c>
      <c r="AHJ5" s="319" t="s">
        <v>103</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1</v>
      </c>
      <c r="AHQ5" s="319">
        <f t="shared" ref="AHQ5" ca="1" si="867">SUMPRODUCT((ALL3:ALL42=AHN5)*(ALP3:ALP42="L"))+SUMPRODUCT((ALO3:ALO42=AHN5)*(ALQ3:ALQ42="L"))</f>
        <v>2</v>
      </c>
      <c r="AHR5" s="319">
        <f t="shared" ref="AHR5" ca="1" si="868">SUMIF(ALL3:ALL60,AHN5,ALM3:ALM60)+SUMIF(ALO3:ALO60,AHN5,ALN3:ALN60)</f>
        <v>1</v>
      </c>
      <c r="AHS5" s="319">
        <f t="shared" ref="AHS5" ca="1" si="869">SUMIF(ALO3:ALO60,AHN5,ALM3:ALM60)+SUMIF(ALL3:ALL60,AHN5,ALN3:ALN60)</f>
        <v>4</v>
      </c>
      <c r="AHT5" s="319">
        <f t="shared" ca="1" si="371"/>
        <v>997</v>
      </c>
      <c r="AHU5" s="319">
        <f t="shared" ca="1" si="372"/>
        <v>1</v>
      </c>
      <c r="AHV5" s="319">
        <f t="shared" ref="AHV5:AHV40" si="870">ACX5</f>
        <v>43</v>
      </c>
      <c r="AHW5" s="319">
        <f t="shared" ref="AHW5" ca="1" si="871">IF(COUNTIF(AHU4:AHU8,4)&lt;&gt;4,RANK(AHU5,AHU4:AHU8),AHU45)</f>
        <v>3</v>
      </c>
      <c r="AHX5" s="319"/>
      <c r="AHY5" s="319">
        <f t="shared" ref="AHY5" ca="1" si="872">SUMPRODUCT((AHW4:AHW7=AHW5)*(AHV4:AHV7&lt;AHV5))+AHW5</f>
        <v>3</v>
      </c>
      <c r="AHZ5" s="319" t="str">
        <f t="shared" ref="AHZ5" ca="1" si="873">INDEX(AHN4:AHN8,MATCH(2,AHY4:AHY8,0),0)</f>
        <v>Switzerland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Switzerland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Serbia</v>
      </c>
      <c r="ALU5" s="320">
        <f t="shared" ref="ALU5" ca="1" si="915">VLOOKUP(ALT5,AHN4:AHS40,2,FALSE)</f>
        <v>1</v>
      </c>
      <c r="ALV5" s="320">
        <f t="shared" ref="ALV5" ca="1" si="916">VLOOKUP(ALT5,AHN4:AHS40,3,FALSE)</f>
        <v>1</v>
      </c>
      <c r="ALW5" s="320">
        <f t="shared" ref="ALW5" ca="1" si="917">VLOOKUP(ALT5,AHN4:AHS40,4,FALSE)</f>
        <v>1</v>
      </c>
      <c r="ALX5" s="320">
        <f t="shared" ref="ALX5" ca="1" si="918">VLOOKUP(ALT5,AHN4:AHS40,5,FALSE)</f>
        <v>4</v>
      </c>
      <c r="ALY5" s="320">
        <f t="shared" ref="ALY5" ca="1" si="919">VLOOKUP(ALT5,AHN4:AHS40,6,FALSE)</f>
        <v>4</v>
      </c>
      <c r="ALZ5" s="320">
        <f t="shared" ca="1" si="91"/>
        <v>1000</v>
      </c>
      <c r="AMA5" s="320">
        <f t="shared" ca="1" si="92"/>
        <v>4</v>
      </c>
      <c r="AMB5" s="319">
        <f ca="1">VLOOKUP(ALT5,B4:J40,9,FALSE)</f>
        <v>35</v>
      </c>
      <c r="AMC5" s="319">
        <f t="shared" ref="AMC5" ca="1" si="920">RANK(AMA5,AMA3:AMA8)</f>
        <v>1</v>
      </c>
      <c r="AMD5" s="319">
        <f t="shared" ref="AMD5" ca="1" si="921">SUMPRODUCT((AMC3:AMC8=AMC5)*(ALZ3:ALZ8&gt;ALZ5))</f>
        <v>1</v>
      </c>
      <c r="AME5" s="319">
        <f t="shared" ref="AME5" ca="1" si="922">SUMPRODUCT((AMC3:AMC8=AMC5)*(ALZ3:ALZ8=ALZ5)*(ALX3:ALX8&gt;ALX5))</f>
        <v>0</v>
      </c>
      <c r="AMF5" s="319">
        <f t="shared" ref="AMF5" ca="1" si="923">SUMPRODUCT((AMC3:AMC8=AMC5)*(ALZ3:ALZ8=ALZ5)*(ALX3:ALX8=ALX5)*(AMB3:AMB8&gt;AMB5))</f>
        <v>0</v>
      </c>
      <c r="AMG5" s="319">
        <f t="shared" ca="1" si="97"/>
        <v>2</v>
      </c>
      <c r="AMH5" s="319" t="s">
        <v>103</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103</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103</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103</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103</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1</v>
      </c>
      <c r="DJ6" s="320">
        <f>Matches!V24</f>
        <v>0</v>
      </c>
      <c r="DK6" s="320">
        <f>Matches!W24</f>
        <v>1</v>
      </c>
      <c r="DL6" s="320">
        <f>Matches!X24</f>
        <v>3</v>
      </c>
      <c r="DM6" s="320">
        <f>Matches!Z24</f>
        <v>2</v>
      </c>
      <c r="DN6" s="320">
        <f>Matches!AA24</f>
        <v>1</v>
      </c>
      <c r="DO6" s="320">
        <f>Matches!AB24</f>
        <v>3</v>
      </c>
      <c r="DP6" s="319">
        <f>VLOOKUP(DH6,B4:J40,9,FALSE)</f>
        <v>41</v>
      </c>
      <c r="DQ6" s="319">
        <f>RANK(DO6,DO3:DO8)</f>
        <v>1</v>
      </c>
      <c r="DR6" s="319">
        <f>SUMPRODUCT((DQ3:DQ8=DQ6)*(DN3:DN8&gt;DN6))</f>
        <v>0</v>
      </c>
      <c r="DS6" s="319">
        <f>SUMPRODUCT((DQ3:DQ8=DQ6)*(DN3:DN8=DN6)*(DL3:DL8&gt;DL6))</f>
        <v>0</v>
      </c>
      <c r="DT6" s="319">
        <f>SUMPRODUCT((DQ3:DQ8=DQ6)*(DN3:DN8=DN6)*(DL3:DL8=DL6)*(DP3:DP8&gt;DP6))</f>
        <v>0</v>
      </c>
      <c r="DU6" s="319">
        <f t="shared" si="163"/>
        <v>1</v>
      </c>
      <c r="DV6" s="319" t="s">
        <v>104</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10</v>
      </c>
      <c r="EF6" s="319">
        <f t="shared" ca="1" si="607"/>
        <v>991</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Austria</v>
      </c>
      <c r="IG6" s="320">
        <f ca="1">VLOOKUP(IF6,DZ4:EE40,2,FALSE)</f>
        <v>1</v>
      </c>
      <c r="IH6" s="320">
        <f ca="1">VLOOKUP(IF6,DZ4:EE40,3,FALSE)</f>
        <v>1</v>
      </c>
      <c r="II6" s="320">
        <f ca="1">VLOOKUP(IF6,DZ4:EE40,4,FALSE)</f>
        <v>1</v>
      </c>
      <c r="IJ6" s="320">
        <f ca="1">VLOOKUP(IF6,DZ4:EE40,5,FALSE)</f>
        <v>5</v>
      </c>
      <c r="IK6" s="320">
        <f ca="1">VLOOKUP(IF6,DZ4:EE40,6,FALSE)</f>
        <v>6</v>
      </c>
      <c r="IL6" s="320">
        <f t="shared" ca="1" si="167"/>
        <v>999</v>
      </c>
      <c r="IM6" s="320">
        <f t="shared" ca="1" si="168"/>
        <v>4</v>
      </c>
      <c r="IN6" s="319">
        <f ca="1">VLOOKUP(IF6,B4:J40,9,FALSE)</f>
        <v>41</v>
      </c>
      <c r="IO6" s="319">
        <f ca="1">RANK(IM6,IM3:IM8)</f>
        <v>1</v>
      </c>
      <c r="IP6" s="319">
        <f ca="1">SUMPRODUCT((IO3:IO8=IO6)*(IL3:IL8&gt;IL6))</f>
        <v>1</v>
      </c>
      <c r="IQ6" s="319">
        <f ca="1">SUMPRODUCT((IO3:IO8=IO6)*(IL3:IL8=IL6)*(IJ3:IJ8&gt;IJ6))</f>
        <v>0</v>
      </c>
      <c r="IR6" s="319">
        <f ca="1">SUMPRODUCT((IO3:IO8=IO6)*(IL3:IL8=IL6)*(IJ3:IJ8=IJ6)*(IN3:IN8&gt;IN6))</f>
        <v>0</v>
      </c>
      <c r="IS6" s="319">
        <f t="shared" ca="1" si="169"/>
        <v>2</v>
      </c>
      <c r="IT6" s="319" t="s">
        <v>104</v>
      </c>
      <c r="IU6" s="319">
        <v>4</v>
      </c>
      <c r="IV6" s="319"/>
      <c r="IW6" s="319">
        <f ca="1">VLOOKUP(IX6,MS4:MT8,2,FALSE)</f>
        <v>3</v>
      </c>
      <c r="IX6" s="319" t="str">
        <f t="shared" si="615"/>
        <v>Hungary</v>
      </c>
      <c r="IY6" s="319">
        <f ca="1">SUMPRODUCT((MV3:MV42=IX6)*(MZ3:MZ42="W"))+SUMPRODUCT((MY3:MY42=IX6)*(NA3:NA42="W"))</f>
        <v>0</v>
      </c>
      <c r="IZ6" s="319">
        <f ca="1">SUMPRODUCT((MV3:MV42=IX6)*(MZ3:MZ42="D"))+SUMPRODUCT((MY3:MY42=IX6)*(NA3:NA42="D"))</f>
        <v>3</v>
      </c>
      <c r="JA6" s="319">
        <f ca="1">SUMPRODUCT((MV3:MV42=IX6)*(MZ3:MZ42="L"))+SUMPRODUCT((MY3:MY42=IX6)*(NA3:NA42="L"))</f>
        <v>0</v>
      </c>
      <c r="JB6" s="319">
        <f ca="1">SUMIF(MV3:MV60,IX6,MW3:MW60)+SUMIF(MY3:MY60,IX6,MX3:MX60)</f>
        <v>3</v>
      </c>
      <c r="JC6" s="319">
        <f ca="1">SUMIF(MY3:MY60,IX6,MW3:MW60)+SUMIF(MV3:MV60,IX6,MX3:MX60)</f>
        <v>3</v>
      </c>
      <c r="JD6" s="319">
        <f t="shared" ca="1" si="616"/>
        <v>1000</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Netherlands</v>
      </c>
      <c r="NE6" s="320">
        <f ca="1">VLOOKUP(ND6,IX4:JC40,2,FALSE)</f>
        <v>0</v>
      </c>
      <c r="NF6" s="320">
        <f ca="1">VLOOKUP(ND6,IX4:JC40,3,FALSE)</f>
        <v>2</v>
      </c>
      <c r="NG6" s="320">
        <f ca="1">VLOOKUP(ND6,IX4:JC40,4,FALSE)</f>
        <v>1</v>
      </c>
      <c r="NH6" s="320">
        <f ca="1">VLOOKUP(ND6,IX4:JC40,5,FALSE)</f>
        <v>3</v>
      </c>
      <c r="NI6" s="320">
        <f ca="1">VLOOKUP(ND6,IX4:JC40,6,FALSE)</f>
        <v>4</v>
      </c>
      <c r="NJ6" s="320">
        <f t="shared" ca="1" si="173"/>
        <v>999</v>
      </c>
      <c r="NK6" s="320">
        <f t="shared" ca="1" si="174"/>
        <v>2</v>
      </c>
      <c r="NL6" s="319">
        <f ca="1">VLOOKUP(ND6,B4:J40,9,FALSE)</f>
        <v>42</v>
      </c>
      <c r="NM6" s="319">
        <f ca="1">RANK(NK6,NK3:NK8)</f>
        <v>3</v>
      </c>
      <c r="NN6" s="319">
        <f ca="1">SUMPRODUCT((NM3:NM8=NM6)*(NJ3:NJ8&gt;NJ6))</f>
        <v>0</v>
      </c>
      <c r="NO6" s="319">
        <f ca="1">SUMPRODUCT((NM3:NM8=NM6)*(NJ3:NJ8=NJ6)*(NH3:NH8&gt;NH6))</f>
        <v>2</v>
      </c>
      <c r="NP6" s="319">
        <f ca="1">SUMPRODUCT((NM3:NM8=NM6)*(NJ3:NJ8=NJ6)*(NH3:NH8=NH6)*(NL3:NL8&gt;NL6))</f>
        <v>0</v>
      </c>
      <c r="NQ6" s="319">
        <f t="shared" ca="1" si="175"/>
        <v>5</v>
      </c>
      <c r="NR6" s="319" t="s">
        <v>104</v>
      </c>
      <c r="NS6" s="319">
        <v>4</v>
      </c>
      <c r="NT6" s="319"/>
      <c r="NU6" s="319">
        <f t="shared" ref="NU6" ca="1" si="1170">VLOOKUP(NV6,RQ4:RR8,2,FALSE)</f>
        <v>2</v>
      </c>
      <c r="NV6" s="319" t="str">
        <f t="shared" si="177"/>
        <v>Hungary</v>
      </c>
      <c r="NW6" s="319">
        <f t="shared" ref="NW6" ca="1" si="1171">SUMPRODUCT((RT3:RT42=NV6)*(RX3:RX42="W"))+SUMPRODUCT((RW3:RW42=NV6)*(RY3:RY42="W"))</f>
        <v>2</v>
      </c>
      <c r="NX6" s="319">
        <f t="shared" ref="NX6" ca="1" si="1172">SUMPRODUCT((RT3:RT42=NV6)*(RX3:RX42="D"))+SUMPRODUCT((RW3:RW42=NV6)*(RY3:RY42="D"))</f>
        <v>0</v>
      </c>
      <c r="NY6" s="319">
        <f t="shared" ref="NY6" ca="1" si="1173">SUMPRODUCT((RT3:RT42=NV6)*(RX3:RX42="L"))+SUMPRODUCT((RW3:RW42=NV6)*(RY3:RY42="L"))</f>
        <v>1</v>
      </c>
      <c r="NZ6" s="319">
        <f t="shared" ref="NZ6" ca="1" si="1174">SUMIF(RT3:RT60,NV6,RU3:RU60)+SUMIF(RW3:RW60,NV6,RV3:RV60)</f>
        <v>4</v>
      </c>
      <c r="OA6" s="319">
        <f t="shared" ref="OA6" ca="1" si="1175">SUMIF(RW3:RW60,NV6,RU3:RU60)+SUMIF(RT3:RT60,NV6,RV3:RV60)</f>
        <v>2</v>
      </c>
      <c r="OB6" s="319">
        <f t="shared" ca="1" si="183"/>
        <v>1002</v>
      </c>
      <c r="OC6" s="319">
        <f t="shared" ca="1" si="184"/>
        <v>6</v>
      </c>
      <c r="OD6" s="319">
        <f t="shared" si="630"/>
        <v>48</v>
      </c>
      <c r="OE6" s="319">
        <f t="shared" ref="OE6" ca="1" si="1176">IF(COUNTIF(OC4:OC8,4)&lt;&gt;4,RANK(OC6,OC4:OC8),OC46)</f>
        <v>2</v>
      </c>
      <c r="OF6" s="319"/>
      <c r="OG6" s="319">
        <f t="shared" ref="OG6" ca="1" si="1177">SUMPRODUCT((OE4:OE7=OE6)*(OD4:OD7&lt;OD6))+OE6</f>
        <v>2</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996</v>
      </c>
      <c r="QL6" s="319">
        <f t="shared" ref="QL6" ca="1" si="1222">IF(QC6&lt;&gt;"",VLOOKUP(QC6,NV4:OB40,5,FALSE),"")</f>
        <v>0</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1</v>
      </c>
      <c r="QU6" s="319">
        <f t="shared" ref="QU6:QU7" ca="1" si="1231">IF(QC6&lt;&gt;"",SUM(QO6:QT6)+2,"")</f>
        <v>4</v>
      </c>
      <c r="QV6" s="319" t="str">
        <f t="shared" ref="QV6" ca="1" si="1232">IF(QC6&lt;&gt;"",INDEX(QC6:QC8,MATCH(3,QU6:QU8,0),0),"")</f>
        <v>Scotland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0</v>
      </c>
      <c r="SD6" s="320">
        <f t="shared" ref="SD6" ca="1" si="1236">VLOOKUP(SB6,NV4:OA40,3,FALSE)</f>
        <v>2</v>
      </c>
      <c r="SE6" s="320">
        <f t="shared" ref="SE6" ca="1" si="1237">VLOOKUP(SB6,NV4:OA40,4,FALSE)</f>
        <v>1</v>
      </c>
      <c r="SF6" s="320">
        <f t="shared" ref="SF6" ca="1" si="1238">VLOOKUP(SB6,NV4:OA40,5,FALSE)</f>
        <v>2</v>
      </c>
      <c r="SG6" s="320">
        <f t="shared" ref="SG6" ca="1" si="1239">VLOOKUP(SB6,NV4:OA40,6,FALSE)</f>
        <v>4</v>
      </c>
      <c r="SH6" s="320">
        <f t="shared" ca="1" si="27"/>
        <v>998</v>
      </c>
      <c r="SI6" s="320">
        <f t="shared" ca="1" si="28"/>
        <v>2</v>
      </c>
      <c r="SJ6" s="319">
        <f ca="1">VLOOKUP(SB6,B4:J40,9,FALSE)</f>
        <v>41</v>
      </c>
      <c r="SK6" s="319">
        <f t="shared" ref="SK6" ca="1" si="1240">RANK(SI6,SI3:SI8)</f>
        <v>4</v>
      </c>
      <c r="SL6" s="319">
        <f t="shared" ref="SL6" ca="1" si="1241">SUMPRODUCT((SK3:SK8=SK6)*(SH3:SH8&gt;SH6))</f>
        <v>1</v>
      </c>
      <c r="SM6" s="319">
        <f t="shared" ref="SM6" ca="1" si="1242">SUMPRODUCT((SK3:SK8=SK6)*(SH3:SH8=SH6)*(SF3:SF8&gt;SF6))</f>
        <v>0</v>
      </c>
      <c r="SN6" s="319">
        <f t="shared" ref="SN6" ca="1" si="1243">SUMPRODUCT((SK3:SK8=SK6)*(SH3:SH8=SH6)*(SF3:SF8=SF6)*(SJ3:SJ8&gt;SJ6))</f>
        <v>0</v>
      </c>
      <c r="SO6" s="319">
        <f t="shared" ca="1" si="33"/>
        <v>5</v>
      </c>
      <c r="SP6" s="319" t="s">
        <v>104</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1</v>
      </c>
      <c r="SY6" s="319">
        <f t="shared" ref="SY6" ca="1" si="1249">SUMIF(WU3:WU60,ST6,WS3:WS60)+SUMIF(WR3:WR60,ST6,WT3:WT60)</f>
        <v>5</v>
      </c>
      <c r="SZ6" s="319">
        <f t="shared" ca="1" si="230"/>
        <v>996</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4</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0</v>
      </c>
      <c r="XB6" s="320">
        <f t="shared" ref="XB6" ca="1" si="1310">VLOOKUP(WZ6,ST4:SY40,3,FALSE)</f>
        <v>2</v>
      </c>
      <c r="XC6" s="320">
        <f t="shared" ref="XC6" ca="1" si="1311">VLOOKUP(WZ6,ST4:SY40,4,FALSE)</f>
        <v>1</v>
      </c>
      <c r="XD6" s="320">
        <f t="shared" ref="XD6" ca="1" si="1312">VLOOKUP(WZ6,ST4:SY40,5,FALSE)</f>
        <v>2</v>
      </c>
      <c r="XE6" s="320">
        <f t="shared" ref="XE6" ca="1" si="1313">VLOOKUP(WZ6,ST4:SY40,6,FALSE)</f>
        <v>3</v>
      </c>
      <c r="XF6" s="320">
        <f t="shared" ca="1" si="43"/>
        <v>999</v>
      </c>
      <c r="XG6" s="320">
        <f t="shared" ca="1" si="44"/>
        <v>2</v>
      </c>
      <c r="XH6" s="319">
        <f ca="1">VLOOKUP(WZ6,B4:J40,9,FALSE)</f>
        <v>0</v>
      </c>
      <c r="XI6" s="319">
        <f t="shared" ref="XI6" ca="1" si="1314">RANK(XG6,XG3:XG8)</f>
        <v>5</v>
      </c>
      <c r="XJ6" s="319">
        <f t="shared" ref="XJ6" ca="1" si="1315">SUMPRODUCT((XI3:XI8=XI6)*(XF3:XF8&gt;XF6))</f>
        <v>0</v>
      </c>
      <c r="XK6" s="319">
        <f t="shared" ref="XK6" ca="1" si="1316">SUMPRODUCT((XI3:XI8=XI6)*(XF3:XF8=XF6)*(XD3:XD8&gt;XD6))</f>
        <v>0</v>
      </c>
      <c r="XL6" s="319">
        <f t="shared" ref="XL6" ca="1" si="1317">SUMPRODUCT((XI3:XI8=XI6)*(XF3:XF8=XF6)*(XD3:XD8=XD6)*(XH3:XH8&gt;XH6))</f>
        <v>0</v>
      </c>
      <c r="XM6" s="319">
        <f t="shared" ca="1" si="49"/>
        <v>5</v>
      </c>
      <c r="XN6" s="319" t="s">
        <v>104</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0</v>
      </c>
      <c r="XU6" s="319">
        <f t="shared" ref="XU6" ca="1" si="1321">SUMPRODUCT((ABP3:ABP42=XR6)*(ABT3:ABT42="L"))+SUMPRODUCT((ABS3:ABS42=XR6)*(ABU3:ABU42="L"))</f>
        <v>3</v>
      </c>
      <c r="XV6" s="319">
        <f t="shared" ref="XV6" ca="1" si="1322">SUMIF(ABP3:ABP60,XR6,ABQ3:ABQ60)+SUMIF(ABS3:ABS60,XR6,ABR3:ABR60)</f>
        <v>1</v>
      </c>
      <c r="XW6" s="319">
        <f t="shared" ref="XW6" ca="1" si="1323">SUMIF(ABS3:ABS60,XR6,ABQ3:ABQ60)+SUMIF(ABP3:ABP60,XR6,ABR3:ABR60)</f>
        <v>7</v>
      </c>
      <c r="XX6" s="319">
        <f t="shared" ca="1" si="277"/>
        <v>994</v>
      </c>
      <c r="XY6" s="319">
        <f t="shared" ca="1" si="278"/>
        <v>0</v>
      </c>
      <c r="XZ6" s="319">
        <f t="shared" si="750"/>
        <v>48</v>
      </c>
      <c r="YA6" s="319">
        <f t="shared" ref="YA6" ca="1" si="1324">IF(COUNTIF(XY4:XY8,4)&lt;&gt;4,RANK(XY6,XY4:XY8),XY46)</f>
        <v>4</v>
      </c>
      <c r="YB6" s="319"/>
      <c r="YC6" s="319">
        <f t="shared" ref="YC6" ca="1" si="1325">SUMPRODUCT((YA4:YA7=YA6)*(XZ4:XZ7&lt;XZ6))+YA6</f>
        <v>4</v>
      </c>
      <c r="YD6" s="319" t="str">
        <f t="shared" ref="YD6" ca="1" si="1326">INDEX(XR4:XR8,MATCH(3,YC4:YC8,0),0)</f>
        <v>Switzerland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19">
        <f t="shared" ref="AAE6:AAE7" ca="1" si="1367">AAC6-AAD6+1000</f>
        <v>1000</v>
      </c>
      <c r="AAF6" s="319" t="str">
        <f t="shared" ref="AAF6:AAF7" ca="1" si="1368">IF(ZY6&lt;&gt;"",ZZ6*3+AAA6*1,"")</f>
        <v/>
      </c>
      <c r="AAG6" s="319" t="str">
        <f t="shared" ref="AAG6" ca="1" si="1369">IF(ZY6&lt;&gt;"",VLOOKUP(ZY6,XR4:XX40,7,FALSE),"")</f>
        <v/>
      </c>
      <c r="AAH6" s="319" t="str">
        <f t="shared" ref="AAH6" ca="1" si="1370">IF(ZY6&lt;&gt;"",VLOOKUP(ZY6,XR4:XX40,5,FALSE),"")</f>
        <v/>
      </c>
      <c r="AAI6" s="319" t="str">
        <f t="shared" ref="AAI6" ca="1" si="1371">IF(ZY6&lt;&gt;"",VLOOKUP(ZY6,XR4:XZ40,9,FALSE),"")</f>
        <v/>
      </c>
      <c r="AAJ6" s="319" t="str">
        <f t="shared" ref="AAJ6:AAJ7" ca="1" si="1372">AAF6</f>
        <v/>
      </c>
      <c r="AAK6" s="319" t="str">
        <f t="shared" ref="AAK6" ca="1" si="1373">IF(ZY6&lt;&gt;"",RANK(AAJ6,AAJ4:AAJ8),"")</f>
        <v/>
      </c>
      <c r="AAL6" s="319" t="str">
        <f t="shared" ref="AAL6" ca="1" si="1374">IF(ZY6&lt;&gt;"",SUMPRODUCT((AAJ4:AAJ8=AAJ6)*(AAE4:AAE8&gt;AAE6)),"")</f>
        <v/>
      </c>
      <c r="AAM6" s="319" t="str">
        <f t="shared" ref="AAM6" ca="1" si="1375">IF(ZY6&lt;&gt;"",SUMPRODUCT((AAJ4:AAJ8=AAJ6)*(AAE4:AAE8=AAE6)*(AAC4:AAC8&gt;AAC6)),"")</f>
        <v/>
      </c>
      <c r="AAN6" s="319" t="str">
        <f t="shared" ref="AAN6" ca="1" si="1376">IF(ZY6&lt;&gt;"",SUMPRODUCT((AAJ4:AAJ8=AAJ6)*(AAE4:AAE8=AAE6)*(AAC4:AAC8=AAC6)*(AAG4:AAG8&gt;AAG6)),"")</f>
        <v/>
      </c>
      <c r="AAO6" s="319" t="str">
        <f t="shared" ref="AAO6" ca="1" si="1377">IF(ZY6&lt;&gt;"",SUMPRODUCT((AAJ4:AAJ8=AAJ6)*(AAE4:AAE8=AAE6)*(AAC4:AAC8=AAC6)*(AAG4:AAG8=AAG6)*(AAH4:AAH8&gt;AAH6)),"")</f>
        <v/>
      </c>
      <c r="AAP6" s="319" t="str">
        <f t="shared" ref="AAP6" ca="1" si="1378">IF(ZY6&lt;&gt;"",SUMPRODUCT((AAJ4:AAJ8=AAJ6)*(AAE4:AAE8=AAE6)*(AAC4:AAC8=AAC6)*(AAG4:AAG8=AAG6)*(AAH4:AAH8=AAH6)*(AAI4:AAI8&gt;AAI6)),"")</f>
        <v/>
      </c>
      <c r="AAQ6" s="319" t="str">
        <f t="shared" ref="AAQ6:AAQ7" ca="1" si="1379">IF(ZY6&lt;&gt;"",SUM(AAK6:AAP6)+2,"")</f>
        <v/>
      </c>
      <c r="AAR6" s="319" t="str">
        <f t="shared" ref="AAR6" ca="1" si="1380">IF(ZY6&lt;&gt;"",INDEX(ZY6:ZY8,MATCH(3,AAQ6:AAQ8,0),0),"")</f>
        <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Switzerland</v>
      </c>
      <c r="ABN6" s="319">
        <v>3</v>
      </c>
      <c r="ABO6" s="319">
        <v>4</v>
      </c>
      <c r="ABP6" s="319" t="str">
        <f t="shared" si="50"/>
        <v>Italy</v>
      </c>
      <c r="ABQ6" s="322">
        <f ca="1">IF(OFFSET('Player Game Board'!P13,0,ABQ1)&lt;&gt;"",OFFSET('Player Game Board'!P13,0,ABQ1),0)</f>
        <v>3</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Austria</v>
      </c>
      <c r="ABY6" s="320">
        <f t="shared" ref="ABY6" ca="1" si="1383">VLOOKUP(ABX6,XR4:XW40,2,FALSE)</f>
        <v>1</v>
      </c>
      <c r="ABZ6" s="320">
        <f t="shared" ref="ABZ6" ca="1" si="1384">VLOOKUP(ABX6,XR4:XW40,3,FALSE)</f>
        <v>0</v>
      </c>
      <c r="ACA6" s="320">
        <f t="shared" ref="ACA6" ca="1" si="1385">VLOOKUP(ABX6,XR4:XW40,4,FALSE)</f>
        <v>2</v>
      </c>
      <c r="ACB6" s="320">
        <f t="shared" ref="ACB6" ca="1" si="1386">VLOOKUP(ABX6,XR4:XW40,5,FALSE)</f>
        <v>3</v>
      </c>
      <c r="ACC6" s="320">
        <f t="shared" ref="ACC6" ca="1" si="1387">VLOOKUP(ABX6,XR4:XW40,6,FALSE)</f>
        <v>3</v>
      </c>
      <c r="ACD6" s="320">
        <f t="shared" ca="1" si="59"/>
        <v>1000</v>
      </c>
      <c r="ACE6" s="320">
        <f t="shared" ca="1" si="60"/>
        <v>3</v>
      </c>
      <c r="ACF6" s="319">
        <f ca="1">VLOOKUP(ABX6,B4:J40,9,FALSE)</f>
        <v>41</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0</v>
      </c>
      <c r="ACK6" s="319">
        <f t="shared" ca="1" si="65"/>
        <v>3</v>
      </c>
      <c r="ACL6" s="319" t="s">
        <v>104</v>
      </c>
      <c r="ACM6" s="319">
        <v>4</v>
      </c>
      <c r="ACN6" s="319"/>
      <c r="ACO6" s="319">
        <f t="shared" ref="ACO6" ca="1" si="1392">VLOOKUP(ACP6,AGK4:AGL8,2,FALSE)</f>
        <v>4</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3</v>
      </c>
      <c r="ACT6" s="319">
        <f t="shared" ref="ACT6" ca="1" si="1396">SUMIF(AGN3:AGN60,ACP6,AGO3:AGO60)+SUMIF(AGQ3:AGQ60,ACP6,AGP3:AGP60)</f>
        <v>2</v>
      </c>
      <c r="ACU6" s="319">
        <f t="shared" ref="ACU6" ca="1" si="1397">SUMIF(AGQ3:AGQ60,ACP6,AGO3:AGO60)+SUMIF(AGN3:AGN60,ACP6,AGP3:AGP60)</f>
        <v>6</v>
      </c>
      <c r="ACV6" s="319">
        <f t="shared" ca="1" si="324"/>
        <v>996</v>
      </c>
      <c r="ACW6" s="319">
        <f t="shared" ca="1" si="325"/>
        <v>0</v>
      </c>
      <c r="ACX6" s="319">
        <f t="shared" si="810"/>
        <v>48</v>
      </c>
      <c r="ACY6" s="319">
        <f t="shared" ref="ACY6" ca="1" si="1398">IF(COUNTIF(ACW4:ACW8,4)&lt;&gt;4,RANK(ACW6,ACW4:ACW8),ACW46)</f>
        <v>4</v>
      </c>
      <c r="ACZ6" s="319"/>
      <c r="ADA6" s="319">
        <f t="shared" ref="ADA6" ca="1" si="1399">SUMPRODUCT((ACY4:ACY7=ACY6)*(ACX4:ACX7&lt;ACX6))+ACY6</f>
        <v>4</v>
      </c>
      <c r="ADB6" s="319" t="str">
        <f t="shared" ref="ADB6" ca="1" si="1400">INDEX(ACP4:ACP8,MATCH(3,ADA4:ADA8,0),0)</f>
        <v>Scotland</v>
      </c>
      <c r="ADC6" s="319">
        <f t="shared" ref="ADC6" ca="1" si="1401">INDEX(ACY4:ACY8,MATCH(ADB6,ACP4:ACP8,0),0)</f>
        <v>2</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Scotland</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19">
        <f t="shared" ca="1" si="840"/>
        <v>1000</v>
      </c>
      <c r="AEJ6" s="319">
        <f t="shared" ca="1" si="841"/>
        <v>1</v>
      </c>
      <c r="AEK6" s="319">
        <f t="shared" ref="AEK6" ca="1" si="1425">IF(AEC6&lt;&gt;"",VLOOKUP(AEC6,ACP4:ACV40,7,FALSE),"")</f>
        <v>999</v>
      </c>
      <c r="AEL6" s="319">
        <f t="shared" ref="AEL6" ca="1" si="1426">IF(AEC6&lt;&gt;"",VLOOKUP(AEC6,ACP4:ACV40,5,FALSE),"")</f>
        <v>4</v>
      </c>
      <c r="AEM6" s="319">
        <f t="shared" ref="AEM6" ca="1" si="1427">IF(AEC6&lt;&gt;"",VLOOKUP(AEC6,ACP4:ACX40,9,FALSE),"")</f>
        <v>43</v>
      </c>
      <c r="AEN6" s="319">
        <f t="shared" ca="1" si="845"/>
        <v>1</v>
      </c>
      <c r="AEO6" s="319">
        <f t="shared" ref="AEO6" ca="1" si="1428">IF(AEC6&lt;&gt;"",RANK(AEN6,AEN4:AEN8),"")</f>
        <v>1</v>
      </c>
      <c r="AEP6" s="319">
        <f t="shared" ref="AEP6" ca="1" si="1429">IF(AEC6&lt;&gt;"",SUMPRODUCT((AEN4:AEN8=AEN6)*(AEI4:AEI8&gt;AEI6)),"")</f>
        <v>0</v>
      </c>
      <c r="AEQ6" s="319">
        <f t="shared" ref="AEQ6" ca="1" si="1430">IF(AEC6&lt;&gt;"",SUMPRODUCT((AEN4:AEN8=AEN6)*(AEI4:AEI8=AEI6)*(AEG4:AEG8&gt;AEG6)),"")</f>
        <v>0</v>
      </c>
      <c r="AER6" s="319">
        <f t="shared" ref="AER6" ca="1" si="1431">IF(AEC6&lt;&gt;"",SUMPRODUCT((AEN4:AEN8=AEN6)*(AEI4:AEI8=AEI6)*(AEG4:AEG8=AEG6)*(AEK4:AEK8&gt;AEK6)),"")</f>
        <v>1</v>
      </c>
      <c r="AES6" s="319">
        <f t="shared" ref="AES6" ca="1" si="1432">IF(AEC6&lt;&gt;"",SUMPRODUCT((AEN4:AEN8=AEN6)*(AEI4:AEI8=AEI6)*(AEG4:AEG8=AEG6)*(AEK4:AEK8=AEK6)*(AEL4:AEL8&gt;AEL6)),"")</f>
        <v>0</v>
      </c>
      <c r="AET6" s="319">
        <f t="shared" ref="AET6" ca="1" si="1433">IF(AEC6&lt;&gt;"",SUMPRODUCT((AEN4:AEN8=AEN6)*(AEI4:AEI8=AEI6)*(AEG4:AEG8=AEG6)*(AEK4:AEK8=AEK6)*(AEL4:AEL8=AEL6)*(AEM4:AEM8&gt;AEM6)),"")</f>
        <v>0</v>
      </c>
      <c r="AEU6" s="319">
        <f ca="1">IF(AEC6&lt;&gt;"",IF(AEU46&lt;&gt;"",IF(AEB43=3,AEU46,AEU46+AEB43),SUM(AEO6:AET6)+1),"")</f>
        <v>3</v>
      </c>
      <c r="AEV6" s="319" t="str">
        <f t="shared" ref="AEV6" ca="1" si="1434">IF(AEC6&lt;&gt;"",INDEX(AEC5:AEC8,MATCH(3,AEU5:AEU8,0),0),"")</f>
        <v>Scotland</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3</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Austria</v>
      </c>
      <c r="AGW6" s="320">
        <f t="shared" ref="AGW6" ca="1" si="1457">VLOOKUP(AGV6,ACP4:ACU40,2,FALSE)</f>
        <v>0</v>
      </c>
      <c r="AGX6" s="320">
        <f t="shared" ref="AGX6" ca="1" si="1458">VLOOKUP(AGV6,ACP4:ACU40,3,FALSE)</f>
        <v>2</v>
      </c>
      <c r="AGY6" s="320">
        <f t="shared" ref="AGY6" ca="1" si="1459">VLOOKUP(AGV6,ACP4:ACU40,4,FALSE)</f>
        <v>1</v>
      </c>
      <c r="AGZ6" s="320">
        <f t="shared" ref="AGZ6" ca="1" si="1460">VLOOKUP(AGV6,ACP4:ACU40,5,FALSE)</f>
        <v>2</v>
      </c>
      <c r="AHA6" s="320">
        <f t="shared" ref="AHA6" ca="1" si="1461">VLOOKUP(AGV6,ACP4:ACU40,6,FALSE)</f>
        <v>5</v>
      </c>
      <c r="AHB6" s="320">
        <f t="shared" ca="1" si="75"/>
        <v>997</v>
      </c>
      <c r="AHC6" s="320">
        <f t="shared" ca="1" si="76"/>
        <v>2</v>
      </c>
      <c r="AHD6" s="319">
        <f ca="1">VLOOKUP(AGV6,B4:J40,9,FALSE)</f>
        <v>41</v>
      </c>
      <c r="AHE6" s="319">
        <f t="shared" ref="AHE6" ca="1" si="1462">RANK(AHC6,AHC3:AHC8)</f>
        <v>5</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0</v>
      </c>
      <c r="AHI6" s="319">
        <f t="shared" ca="1" si="81"/>
        <v>5</v>
      </c>
      <c r="AHJ6" s="319" t="s">
        <v>104</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2</v>
      </c>
      <c r="AHS6" s="319">
        <f t="shared" ref="AHS6" ca="1" si="1471">SUMIF(ALO3:ALO60,AHN6,ALM3:ALM60)+SUMIF(ALL3:ALL60,AHN6,ALN3:ALN60)</f>
        <v>7</v>
      </c>
      <c r="AHT6" s="319">
        <f t="shared" ca="1" si="371"/>
        <v>995</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Scotland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Scotland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19">
        <f t="shared" ref="AKA6:AKA7" ca="1" si="1515">AJY6-AJZ6+1000</f>
        <v>1000</v>
      </c>
      <c r="AKB6" s="319">
        <f t="shared" ref="AKB6:AKB7" ca="1" si="1516">IF(AJU6&lt;&gt;"",AJV6*3+AJW6*1,"")</f>
        <v>1</v>
      </c>
      <c r="AKC6" s="319">
        <f t="shared" ref="AKC6" ca="1" si="1517">IF(AJU6&lt;&gt;"",VLOOKUP(AJU6,AHN4:AHT40,7,FALSE),"")</f>
        <v>997</v>
      </c>
      <c r="AKD6" s="319">
        <f t="shared" ref="AKD6" ca="1" si="1518">IF(AJU6&lt;&gt;"",VLOOKUP(AJU6,AHN4:AHT40,5,FALSE),"")</f>
        <v>1</v>
      </c>
      <c r="AKE6" s="319">
        <f t="shared" ref="AKE6" ca="1" si="1519">IF(AJU6&lt;&gt;"",VLOOKUP(AJU6,AHN4:AHV40,9,FALSE),"")</f>
        <v>43</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Scotland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5</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Poland</v>
      </c>
      <c r="ALU6" s="320">
        <f t="shared" ref="ALU6" ca="1" si="1531">VLOOKUP(ALT6,AHN4:AHS40,2,FALSE)</f>
        <v>0</v>
      </c>
      <c r="ALV6" s="320">
        <f t="shared" ref="ALV6" ca="1" si="1532">VLOOKUP(ALT6,AHN4:AHS40,3,FALSE)</f>
        <v>1</v>
      </c>
      <c r="ALW6" s="320">
        <f t="shared" ref="ALW6" ca="1" si="1533">VLOOKUP(ALT6,AHN4:AHS40,4,FALSE)</f>
        <v>2</v>
      </c>
      <c r="ALX6" s="320">
        <f t="shared" ref="ALX6" ca="1" si="1534">VLOOKUP(ALT6,AHN4:AHS40,5,FALSE)</f>
        <v>3</v>
      </c>
      <c r="ALY6" s="320">
        <f t="shared" ref="ALY6" ca="1" si="1535">VLOOKUP(ALT6,AHN4:AHS40,6,FALSE)</f>
        <v>6</v>
      </c>
      <c r="ALZ6" s="320">
        <f t="shared" ca="1" si="91"/>
        <v>997</v>
      </c>
      <c r="AMA6" s="320">
        <f t="shared" ca="1" si="92"/>
        <v>1</v>
      </c>
      <c r="AMB6" s="319">
        <f ca="1">VLOOKUP(ALT6,B4:J40,9,FALSE)</f>
        <v>0</v>
      </c>
      <c r="AMC6" s="319">
        <f t="shared" ref="AMC6" ca="1" si="1536">RANK(AMA6,AMA3:AMA8)</f>
        <v>4</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5</v>
      </c>
      <c r="AMH6" s="319" t="s">
        <v>104</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104</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104</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104</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104</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1</v>
      </c>
      <c r="DS7" s="319">
        <f>SUMPRODUCT((DQ3:DQ8=DQ7)*(DN3:DN8=DN7)*(DL3:DL8&gt;DL7))</f>
        <v>0</v>
      </c>
      <c r="DT7" s="319">
        <f>SUMPRODUCT((DQ3:DQ8=DQ7)*(DN3:DN8=DN7)*(DL3:DL8=DL7)*(DP3:DP8&gt;DP7))</f>
        <v>0</v>
      </c>
      <c r="DU7" s="319">
        <f t="shared" si="163"/>
        <v>2</v>
      </c>
      <c r="DV7" s="319" t="s">
        <v>105</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2</v>
      </c>
      <c r="EC7" s="319">
        <f ca="1">SUMPRODUCT((HX3:HX42=DZ7)*(IB3:IB42="L"))+SUMPRODUCT((IA3:IA42=DZ7)*(IC3:IC42="L"))</f>
        <v>0</v>
      </c>
      <c r="ED7" s="319">
        <f ca="1">SUMIF(HX3:HX60,DZ7,HY3:HY60)+SUMIF(IA3:IA60,DZ7,HZ3:HZ60)</f>
        <v>8</v>
      </c>
      <c r="EE7" s="319">
        <f ca="1">SUMIF(IA3:IA60,DZ7,HY3:HY60)+SUMIF(HX3:HX60,DZ7,HZ3:HZ60)</f>
        <v>4</v>
      </c>
      <c r="EF7" s="319">
        <f t="shared" ca="1" si="607"/>
        <v>1004</v>
      </c>
      <c r="EG7" s="319">
        <f t="shared" ca="1" si="608"/>
        <v>5</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2</v>
      </c>
      <c r="IK7" s="320">
        <f ca="1">VLOOKUP(IF7,DZ4:EE40,6,FALSE)</f>
        <v>5</v>
      </c>
      <c r="IL7" s="320">
        <f t="shared" ca="1" si="167"/>
        <v>997</v>
      </c>
      <c r="IM7" s="320">
        <f t="shared" ca="1" si="168"/>
        <v>2</v>
      </c>
      <c r="IN7" s="319">
        <f ca="1">VLOOKUP(IF7,B4:J40,9,FALSE)</f>
        <v>0</v>
      </c>
      <c r="IO7" s="319">
        <f ca="1">RANK(IM7,IM3:IM8)</f>
        <v>5</v>
      </c>
      <c r="IP7" s="319">
        <f ca="1">SUMPRODUCT((IO3:IO8=IO7)*(IL3:IL8&gt;IL7))</f>
        <v>0</v>
      </c>
      <c r="IQ7" s="319">
        <f ca="1">SUMPRODUCT((IO3:IO8=IO7)*(IL3:IL8=IL7)*(IJ3:IJ8&gt;IJ7))</f>
        <v>0</v>
      </c>
      <c r="IR7" s="319">
        <f ca="1">SUMPRODUCT((IO3:IO8=IO7)*(IL3:IL8=IL7)*(IJ3:IJ8=IJ7)*(IN3:IN8&gt;IN7))</f>
        <v>1</v>
      </c>
      <c r="IS7" s="319">
        <f t="shared" ca="1" si="169"/>
        <v>6</v>
      </c>
      <c r="IT7" s="319" t="s">
        <v>105</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1</v>
      </c>
      <c r="JC7" s="319">
        <f ca="1">SUMIF(MY3:MY60,IX7,MW3:MW60)+SUMIF(MV3:MV60,IX7,MX3:MX60)</f>
        <v>7</v>
      </c>
      <c r="JD7" s="319">
        <f t="shared" ca="1" si="616"/>
        <v>994</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Romania</v>
      </c>
      <c r="NE7" s="320">
        <f ca="1">VLOOKUP(ND7,IX4:JC40,2,FALSE)</f>
        <v>0</v>
      </c>
      <c r="NF7" s="320">
        <f ca="1">VLOOKUP(ND7,IX4:JC40,3,FALSE)</f>
        <v>2</v>
      </c>
      <c r="NG7" s="320">
        <f ca="1">VLOOKUP(ND7,IX4:JC40,4,FALSE)</f>
        <v>1</v>
      </c>
      <c r="NH7" s="320">
        <f ca="1">VLOOKUP(ND7,IX4:JC40,5,FALSE)</f>
        <v>4</v>
      </c>
      <c r="NI7" s="320">
        <f ca="1">VLOOKUP(ND7,IX4:JC40,6,FALSE)</f>
        <v>5</v>
      </c>
      <c r="NJ7" s="320">
        <f t="shared" ca="1" si="173"/>
        <v>999</v>
      </c>
      <c r="NK7" s="320">
        <f t="shared" ca="1" si="174"/>
        <v>2</v>
      </c>
      <c r="NL7" s="319">
        <f ca="1">VLOOKUP(ND7,B4:J40,9,FALSE)</f>
        <v>46</v>
      </c>
      <c r="NM7" s="319">
        <f ca="1">RANK(NK7,NK3:NK8)</f>
        <v>3</v>
      </c>
      <c r="NN7" s="319">
        <f ca="1">SUMPRODUCT((NM3:NM8=NM7)*(NJ3:NJ8&gt;NJ7))</f>
        <v>0</v>
      </c>
      <c r="NO7" s="319">
        <f ca="1">SUMPRODUCT((NM3:NM8=NM7)*(NJ3:NJ8=NJ7)*(NH3:NH8&gt;NH7))</f>
        <v>0</v>
      </c>
      <c r="NP7" s="319">
        <f ca="1">SUMPRODUCT((NM3:NM8=NM7)*(NJ3:NJ8=NJ7)*(NH3:NH8=NH7)*(NL3:NL8&gt;NL7))</f>
        <v>1</v>
      </c>
      <c r="NQ7" s="319">
        <f t="shared" ca="1" si="175"/>
        <v>4</v>
      </c>
      <c r="NR7" s="319" t="s">
        <v>105</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0</v>
      </c>
      <c r="OA7" s="319">
        <f t="shared" ref="OA7" ca="1" si="1847">SUMIF(RW3:RW60,NV7,RU3:RU60)+SUMIF(RT3:RT60,NV7,RV3:RV60)</f>
        <v>4</v>
      </c>
      <c r="OB7" s="319">
        <f t="shared" ca="1" si="183"/>
        <v>996</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Scotland</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Scotland</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996</v>
      </c>
      <c r="QL7" s="319">
        <f t="shared" ref="QL7" ca="1" si="1888">IF(QC7&lt;&gt;"",VLOOKUP(QC7,NV4:OB40,5,FALSE),"")</f>
        <v>0</v>
      </c>
      <c r="QM7" s="319">
        <f t="shared" ref="QM7" ca="1" si="1889">IF(QC7&lt;&gt;"",VLOOKUP(QC7,NV4:OD40,9,FALSE),"")</f>
        <v>43</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0</v>
      </c>
      <c r="QT7" s="319">
        <f t="shared" ref="QT7" ca="1" si="1895">IF(QC7&lt;&gt;"",SUMPRODUCT((QN4:QN8=QN7)*(QI4:QI8=QI7)*(QG4:QG8=QG7)*(QK4:QK8=QK7)*(QL4:QL8=QL7)*(QM4:QM8&gt;QM7)),"")</f>
        <v>0</v>
      </c>
      <c r="QU7" s="319">
        <f t="shared" ca="1" si="1231"/>
        <v>3</v>
      </c>
      <c r="QV7" s="319" t="str">
        <f t="shared" ref="QV7" ca="1" si="1896">IF(QC7&lt;&gt;"",INDEX(QC6:QC8,MATCH(4,QU6:QU8,0),0),"")</f>
        <v>Switzerland</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Belgium</v>
      </c>
      <c r="SC7" s="320">
        <f t="shared" ref="SC7" ca="1" si="1919">VLOOKUP(SB7,NV4:OA40,2,FALSE)</f>
        <v>0</v>
      </c>
      <c r="SD7" s="320">
        <f t="shared" ref="SD7" ca="1" si="1920">VLOOKUP(SB7,NV4:OA40,3,FALSE)</f>
        <v>2</v>
      </c>
      <c r="SE7" s="320">
        <f t="shared" ref="SE7" ca="1" si="1921">VLOOKUP(SB7,NV4:OA40,4,FALSE)</f>
        <v>1</v>
      </c>
      <c r="SF7" s="320">
        <f t="shared" ref="SF7" ca="1" si="1922">VLOOKUP(SB7,NV4:OA40,5,FALSE)</f>
        <v>0</v>
      </c>
      <c r="SG7" s="320">
        <f t="shared" ref="SG7" ca="1" si="1923">VLOOKUP(SB7,NV4:OA40,6,FALSE)</f>
        <v>1</v>
      </c>
      <c r="SH7" s="320">
        <f t="shared" ca="1" si="27"/>
        <v>999</v>
      </c>
      <c r="SI7" s="320">
        <f t="shared" ca="1" si="28"/>
        <v>2</v>
      </c>
      <c r="SJ7" s="319">
        <f ca="1">VLOOKUP(SB7,B4:J40,9,FALSE)</f>
        <v>50</v>
      </c>
      <c r="SK7" s="319">
        <f t="shared" ref="SK7" ca="1" si="1924">RANK(SI7,SI3:SI8)</f>
        <v>4</v>
      </c>
      <c r="SL7" s="319">
        <f t="shared" ref="SL7" ca="1" si="1925">SUMPRODUCT((SK3:SK8=SK7)*(SH3:SH8&gt;SH7))</f>
        <v>0</v>
      </c>
      <c r="SM7" s="319">
        <f t="shared" ref="SM7" ca="1" si="1926">SUMPRODUCT((SK3:SK8=SK7)*(SH3:SH8=SH7)*(SF3:SF8&gt;SF7))</f>
        <v>0</v>
      </c>
      <c r="SN7" s="319">
        <f t="shared" ref="SN7" ca="1" si="1927">SUMPRODUCT((SK3:SK8=SK7)*(SH3:SH8=SH7)*(SF3:SF8=SF7)*(SJ3:SJ8&gt;SJ7))</f>
        <v>0</v>
      </c>
      <c r="SO7" s="319">
        <f t="shared" ca="1" si="33"/>
        <v>4</v>
      </c>
      <c r="SP7" s="319" t="s">
        <v>105</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2</v>
      </c>
      <c r="SW7" s="319">
        <f t="shared" ref="SW7" ca="1" si="1931">SUMPRODUCT((WR3:WR42=ST7)*(WV3:WV42="L"))+SUMPRODUCT((WU3:WU42=ST7)*(WW3:WW42="L"))</f>
        <v>0</v>
      </c>
      <c r="SX7" s="319">
        <f t="shared" ref="SX7" ca="1" si="1932">SUMIF(WR3:WR60,ST7,WS3:WS60)+SUMIF(WU3:WU60,ST7,WT3:WT60)</f>
        <v>5</v>
      </c>
      <c r="SY7" s="319">
        <f t="shared" ref="SY7" ca="1" si="1933">SUMIF(WU3:WU60,ST7,WS3:WS60)+SUMIF(WR3:WR60,ST7,WT3:WT60)</f>
        <v>4</v>
      </c>
      <c r="SZ7" s="319">
        <f t="shared" ca="1" si="230"/>
        <v>1001</v>
      </c>
      <c r="TA7" s="319">
        <f t="shared" ca="1" si="231"/>
        <v>5</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Ukraine</v>
      </c>
      <c r="XA7" s="320">
        <f t="shared" ref="XA7" ca="1" si="2005">VLOOKUP(WZ7,ST4:SY40,2,FALSE)</f>
        <v>1</v>
      </c>
      <c r="XB7" s="320">
        <f t="shared" ref="XB7" ca="1" si="2006">VLOOKUP(WZ7,ST4:SY40,3,FALSE)</f>
        <v>1</v>
      </c>
      <c r="XC7" s="320">
        <f t="shared" ref="XC7" ca="1" si="2007">VLOOKUP(WZ7,ST4:SY40,4,FALSE)</f>
        <v>1</v>
      </c>
      <c r="XD7" s="320">
        <f t="shared" ref="XD7" ca="1" si="2008">VLOOKUP(WZ7,ST4:SY40,5,FALSE)</f>
        <v>1</v>
      </c>
      <c r="XE7" s="320">
        <f t="shared" ref="XE7" ca="1" si="2009">VLOOKUP(WZ7,ST4:SY40,6,FALSE)</f>
        <v>2</v>
      </c>
      <c r="XF7" s="320">
        <f t="shared" ca="1" si="43"/>
        <v>999</v>
      </c>
      <c r="XG7" s="320">
        <f t="shared" ca="1" si="44"/>
        <v>4</v>
      </c>
      <c r="XH7" s="319">
        <f ca="1">VLOOKUP(WZ7,B4:J40,9,FALSE)</f>
        <v>0</v>
      </c>
      <c r="XI7" s="319">
        <f t="shared" ref="XI7" ca="1" si="2010">RANK(XG7,XG3:XG8)</f>
        <v>1</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2</v>
      </c>
      <c r="XN7" s="319" t="s">
        <v>105</v>
      </c>
      <c r="XO7" s="319">
        <v>5</v>
      </c>
      <c r="XP7" s="319"/>
      <c r="XQ7" s="319">
        <f t="shared" ref="XQ7" ca="1" si="2014">VLOOKUP(XR7,ABM4:ABN8,2,FALSE)</f>
        <v>3</v>
      </c>
      <c r="XR7" s="319" t="str">
        <f t="shared" si="271"/>
        <v>Switzerland</v>
      </c>
      <c r="XS7" s="319">
        <f t="shared" ref="XS7" ca="1" si="2015">SUMPRODUCT((ABP3:ABP42=XR7)*(ABT3:ABT42="W"))+SUMPRODUCT((ABS3:ABS42=XR7)*(ABU3:ABU42="W"))</f>
        <v>1</v>
      </c>
      <c r="XT7" s="319">
        <f t="shared" ref="XT7" ca="1" si="2016">SUMPRODUCT((ABP3:ABP42=XR7)*(ABT3:ABT42="D"))+SUMPRODUCT((ABS3:ABS42=XR7)*(ABU3:ABU42="D"))</f>
        <v>0</v>
      </c>
      <c r="XU7" s="319">
        <f t="shared" ref="XU7" ca="1" si="2017">SUMPRODUCT((ABP3:ABP42=XR7)*(ABT3:ABT42="L"))+SUMPRODUCT((ABS3:ABS42=XR7)*(ABU3:ABU42="L"))</f>
        <v>2</v>
      </c>
      <c r="XV7" s="319">
        <f t="shared" ref="XV7" ca="1" si="2018">SUMIF(ABP3:ABP60,XR7,ABQ3:ABQ60)+SUMIF(ABS3:ABS60,XR7,ABR3:ABR60)</f>
        <v>4</v>
      </c>
      <c r="XW7" s="319">
        <f t="shared" ref="XW7" ca="1" si="2019">SUMIF(ABS3:ABS60,XR7,ABQ3:ABQ60)+SUMIF(ABP3:ABP60,XR7,ABR3:ABR60)</f>
        <v>6</v>
      </c>
      <c r="XX7" s="319">
        <f t="shared" ca="1" si="277"/>
        <v>998</v>
      </c>
      <c r="XY7" s="319">
        <f t="shared" ca="1" si="278"/>
        <v>3</v>
      </c>
      <c r="XZ7" s="319">
        <f t="shared" si="750"/>
        <v>34</v>
      </c>
      <c r="YA7" s="319">
        <f t="shared" ref="YA7" ca="1" si="2020">IF(COUNTIF(XY4:XY8,4)&lt;&gt;4,RANK(XY7,XY4:XY8),XY47)</f>
        <v>3</v>
      </c>
      <c r="YB7" s="319"/>
      <c r="YC7" s="319">
        <f t="shared" ref="YC7" ca="1" si="2021">SUMPRODUCT((YA4:YA7=YA7)*(XZ4:XZ7&lt;XZ7))+YA7</f>
        <v>3</v>
      </c>
      <c r="YD7" s="319" t="str">
        <f t="shared" ref="YD7" ca="1" si="2022">INDEX(XR4:XR8,MATCH(4,YC4:YC8,0),0)</f>
        <v>Hungary</v>
      </c>
      <c r="YE7" s="319">
        <f t="shared" ref="YE7" ca="1" si="2023">INDEX(YA4:YA8,MATCH(YD7,XR4:XR8,0),0)</f>
        <v>4</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19">
        <f t="shared" ca="1" si="1367"/>
        <v>1000</v>
      </c>
      <c r="AAF7" s="319" t="str">
        <f t="shared" ca="1" si="1368"/>
        <v/>
      </c>
      <c r="AAG7" s="319" t="str">
        <f t="shared" ref="AAG7" ca="1" si="2059">IF(ZY7&lt;&gt;"",VLOOKUP(ZY7,XR4:XX40,7,FALSE),"")</f>
        <v/>
      </c>
      <c r="AAH7" s="319" t="str">
        <f t="shared" ref="AAH7" ca="1" si="2060">IF(ZY7&lt;&gt;"",VLOOKUP(ZY7,XR4:XX40,5,FALSE),"")</f>
        <v/>
      </c>
      <c r="AAI7" s="319" t="str">
        <f t="shared" ref="AAI7" ca="1" si="2061">IF(ZY7&lt;&gt;"",VLOOKUP(ZY7,XR4:XZ40,9,FALSE),"")</f>
        <v/>
      </c>
      <c r="AAJ7" s="319" t="str">
        <f t="shared" ca="1" si="1372"/>
        <v/>
      </c>
      <c r="AAK7" s="319" t="str">
        <f t="shared" ref="AAK7" ca="1" si="2062">IF(ZY7&lt;&gt;"",RANK(AAJ7,AAJ4:AAJ8),"")</f>
        <v/>
      </c>
      <c r="AAL7" s="319" t="str">
        <f t="shared" ref="AAL7" ca="1" si="2063">IF(ZY7&lt;&gt;"",SUMPRODUCT((AAJ4:AAJ8=AAJ7)*(AAE4:AAE8&gt;AAE7)),"")</f>
        <v/>
      </c>
      <c r="AAM7" s="319" t="str">
        <f t="shared" ref="AAM7" ca="1" si="2064">IF(ZY7&lt;&gt;"",SUMPRODUCT((AAJ4:AAJ8=AAJ7)*(AAE4:AAE8=AAE7)*(AAC4:AAC8&gt;AAC7)),"")</f>
        <v/>
      </c>
      <c r="AAN7" s="319" t="str">
        <f t="shared" ref="AAN7" ca="1" si="2065">IF(ZY7&lt;&gt;"",SUMPRODUCT((AAJ4:AAJ8=AAJ7)*(AAE4:AAE8=AAE7)*(AAC4:AAC8=AAC7)*(AAG4:AAG8&gt;AAG7)),"")</f>
        <v/>
      </c>
      <c r="AAO7" s="319" t="str">
        <f t="shared" ref="AAO7" ca="1" si="2066">IF(ZY7&lt;&gt;"",SUMPRODUCT((AAJ4:AAJ8=AAJ7)*(AAE4:AAE8=AAE7)*(AAC4:AAC8=AAC7)*(AAG4:AAG8=AAG7)*(AAH4:AAH8&gt;AAH7)),"")</f>
        <v/>
      </c>
      <c r="AAP7" s="319" t="str">
        <f t="shared" ref="AAP7" ca="1" si="2067">IF(ZY7&lt;&gt;"",SUMPRODUCT((AAJ4:AAJ8=AAJ7)*(AAE4:AAE8=AAE7)*(AAC4:AAC8=AAC7)*(AAG4:AAG8=AAG7)*(AAH4:AAH8=AAH7)*(AAI4:AAI8&gt;AAI7)),"")</f>
        <v/>
      </c>
      <c r="AAQ7" s="319" t="str">
        <f t="shared" ca="1" si="1379"/>
        <v/>
      </c>
      <c r="AAR7" s="319" t="str">
        <f t="shared" ref="AAR7" ca="1" si="2068">IF(ZY7&lt;&gt;"",INDEX(ZY6:ZY8,MATCH(4,AAQ6:AAQ8,0),0),"")</f>
        <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2</v>
      </c>
      <c r="ABR7" s="322">
        <f ca="1">IF(OFFSET('Player Game Board'!Q14,0,ABQ1)&lt;&gt;"",OFFSET('Player Game Board'!Q14,0,ABQ1),0)</f>
        <v>2</v>
      </c>
      <c r="ABS7" s="319" t="str">
        <f t="shared" si="51"/>
        <v>England</v>
      </c>
      <c r="ABT7" s="319" t="str">
        <f ca="1">IF(AND(OFFSET('Player Game Board'!P14,0,ABQ1)&lt;&gt;"",OFFSET('Player Game Board'!Q14,0,ABQ1)&lt;&gt;""),IF(ABQ7&gt;ABR7,"W",IF(ABQ7=ABR7,"D","L")),"")</f>
        <v>D</v>
      </c>
      <c r="ABU7" s="319" t="str">
        <f t="shared" ca="1" si="52"/>
        <v>D</v>
      </c>
      <c r="ABV7" s="319"/>
      <c r="ABW7" s="319"/>
      <c r="ABX7" s="319" t="str">
        <f t="shared" ref="ABX7" ca="1" si="2090">VLOOKUP(3,XQ31:XR34,2,FALSE)</f>
        <v>Romania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2</v>
      </c>
      <c r="ACC7" s="320">
        <f t="shared" ref="ACC7" ca="1" si="2095">VLOOKUP(ABX7,XR4:XW40,6,FALSE)</f>
        <v>5</v>
      </c>
      <c r="ACD7" s="320">
        <f t="shared" ca="1" si="59"/>
        <v>997</v>
      </c>
      <c r="ACE7" s="320">
        <f t="shared" ca="1" si="60"/>
        <v>2</v>
      </c>
      <c r="ACF7" s="319">
        <f ca="1">VLOOKUP(ABX7,B4:J40,9,FALSE)</f>
        <v>46</v>
      </c>
      <c r="ACG7" s="319">
        <f t="shared" ref="ACG7" ca="1" si="2096">RANK(ACE7,ACE3:ACE8)</f>
        <v>5</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5</v>
      </c>
      <c r="ACL7" s="319" t="s">
        <v>105</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Hungary</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Hungary</v>
      </c>
      <c r="AGL7" s="319">
        <v>4</v>
      </c>
      <c r="AGM7" s="319">
        <v>5</v>
      </c>
      <c r="AGN7" s="319" t="str">
        <f t="shared" si="66"/>
        <v>Serbia</v>
      </c>
      <c r="AGO7" s="322">
        <f ca="1">IF(OFFSET('Player Game Board'!P14,0,AGO1)&lt;&gt;"",OFFSET('Player Game Board'!P14,0,AGO1),0)</f>
        <v>1</v>
      </c>
      <c r="AGP7" s="322">
        <f ca="1">IF(OFFSET('Player Game Board'!Q14,0,AGO1)&lt;&gt;"",OFFSET('Player Game Board'!Q14,0,AGO1),0)</f>
        <v>3</v>
      </c>
      <c r="AGQ7" s="319" t="str">
        <f t="shared" si="67"/>
        <v>England</v>
      </c>
      <c r="AGR7" s="319" t="str">
        <f ca="1">IF(AND(OFFSET('Player Game Board'!P14,0,AGO1)&lt;&gt;"",OFFSET('Player Game Board'!Q14,0,AGO1)&lt;&gt;""),IF(AGO7&gt;AGP7,"W",IF(AGO7=AGP7,"D","L")),"")</f>
        <v>L</v>
      </c>
      <c r="AGS7" s="319" t="str">
        <f t="shared" ca="1" si="68"/>
        <v>W</v>
      </c>
      <c r="AGT7" s="319"/>
      <c r="AGU7" s="319"/>
      <c r="AGV7" s="319" t="str">
        <f t="shared" ref="AGV7" ca="1" si="2176">VLOOKUP(3,ACO31:ACP34,2,FALSE)</f>
        <v>Romania</v>
      </c>
      <c r="AGW7" s="320">
        <f t="shared" ref="AGW7" ca="1" si="2177">VLOOKUP(AGV7,ACP4:ACU40,2,FALSE)</f>
        <v>0</v>
      </c>
      <c r="AGX7" s="320">
        <f t="shared" ref="AGX7" ca="1" si="2178">VLOOKUP(AGV7,ACP4:ACU40,3,FALSE)</f>
        <v>1</v>
      </c>
      <c r="AGY7" s="320">
        <f t="shared" ref="AGY7" ca="1" si="2179">VLOOKUP(AGV7,ACP4:ACU40,4,FALSE)</f>
        <v>2</v>
      </c>
      <c r="AGZ7" s="320">
        <f t="shared" ref="AGZ7" ca="1" si="2180">VLOOKUP(AGV7,ACP4:ACU40,5,FALSE)</f>
        <v>2</v>
      </c>
      <c r="AHA7" s="320">
        <f t="shared" ref="AHA7" ca="1" si="2181">VLOOKUP(AGV7,ACP4:ACU40,6,FALSE)</f>
        <v>5</v>
      </c>
      <c r="AHB7" s="320">
        <f t="shared" ca="1" si="75"/>
        <v>997</v>
      </c>
      <c r="AHC7" s="320">
        <f t="shared" ca="1" si="76"/>
        <v>1</v>
      </c>
      <c r="AHD7" s="319">
        <f ca="1">VLOOKUP(AGV7,B4:J40,9,FALSE)</f>
        <v>46</v>
      </c>
      <c r="AHE7" s="319">
        <f t="shared" ref="AHE7" ca="1" si="2182">RANK(AHC7,AHC3:AHC8)</f>
        <v>6</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0</v>
      </c>
      <c r="AHI7" s="319">
        <f t="shared" ca="1" si="81"/>
        <v>6</v>
      </c>
      <c r="AHJ7" s="319" t="s">
        <v>105</v>
      </c>
      <c r="AHK7" s="319">
        <v>5</v>
      </c>
      <c r="AHL7" s="319"/>
      <c r="AHM7" s="319">
        <f t="shared" ref="AHM7" ca="1" si="2186">VLOOKUP(AHN7,ALI4:ALJ8,2,FALSE)</f>
        <v>2</v>
      </c>
      <c r="AHN7" s="319" t="str">
        <f t="shared" si="365"/>
        <v>Switzerland</v>
      </c>
      <c r="AHO7" s="319">
        <f t="shared" ref="AHO7" ca="1" si="2187">SUMPRODUCT((ALL3:ALL42=AHN7)*(ALP3:ALP42="W"))+SUMPRODUCT((ALO3:ALO42=AHN7)*(ALQ3:ALQ42="W"))</f>
        <v>2</v>
      </c>
      <c r="AHP7" s="319">
        <f t="shared" ref="AHP7" ca="1" si="2188">SUMPRODUCT((ALL3:ALL42=AHN7)*(ALP3:ALP42="D"))+SUMPRODUCT((ALO3:ALO42=AHN7)*(ALQ3:ALQ42="D"))</f>
        <v>0</v>
      </c>
      <c r="AHQ7" s="319">
        <f t="shared" ref="AHQ7" ca="1" si="2189">SUMPRODUCT((ALL3:ALL42=AHN7)*(ALP3:ALP42="L"))+SUMPRODUCT((ALO3:ALO42=AHN7)*(ALQ3:ALQ42="L"))</f>
        <v>1</v>
      </c>
      <c r="AHR7" s="319">
        <f t="shared" ref="AHR7" ca="1" si="2190">SUMIF(ALL3:ALL60,AHN7,ALM3:ALM60)+SUMIF(ALO3:ALO60,AHN7,ALN3:ALN60)</f>
        <v>5</v>
      </c>
      <c r="AHS7" s="319">
        <f t="shared" ref="AHS7" ca="1" si="2191">SUMIF(ALO3:ALO60,AHN7,ALM3:ALM60)+SUMIF(ALL3:ALL60,AHN7,ALN3:ALN60)</f>
        <v>4</v>
      </c>
      <c r="AHT7" s="319">
        <f t="shared" ca="1" si="371"/>
        <v>1001</v>
      </c>
      <c r="AHU7" s="319">
        <f t="shared" ca="1" si="372"/>
        <v>6</v>
      </c>
      <c r="AHV7" s="319">
        <f t="shared" si="870"/>
        <v>34</v>
      </c>
      <c r="AHW7" s="319">
        <f t="shared" ref="AHW7" ca="1" si="2192">IF(COUNTIF(AHU4:AHU8,4)&lt;&gt;4,RANK(AHU7,AHU4:AHU8),AHU47)</f>
        <v>2</v>
      </c>
      <c r="AHX7" s="319"/>
      <c r="AHY7" s="319">
        <f t="shared" ref="AHY7" ca="1" si="2193">SUMPRODUCT((AHW4:AHW7=AHW7)*(AHV4:AHV7&lt;AHV7))+AHW7</f>
        <v>2</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19">
        <f t="shared" ca="1" si="1515"/>
        <v>1000</v>
      </c>
      <c r="AKB7" s="319">
        <f t="shared" ca="1" si="1516"/>
        <v>1</v>
      </c>
      <c r="AKC7" s="319">
        <f t="shared" ref="AKC7" ca="1" si="2231">IF(AJU7&lt;&gt;"",VLOOKUP(AJU7,AHN4:AHT40,7,FALSE),"")</f>
        <v>995</v>
      </c>
      <c r="AKD7" s="319">
        <f t="shared" ref="AKD7" ca="1" si="2232">IF(AJU7&lt;&gt;"",VLOOKUP(AJU7,AHN4:AHT40,5,FALSE),"")</f>
        <v>2</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2</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1</v>
      </c>
      <c r="ALW7" s="320">
        <f t="shared" ref="ALW7" ca="1" si="2265">VLOOKUP(ALT7,AHN4:AHS40,4,FALSE)</f>
        <v>2</v>
      </c>
      <c r="ALX7" s="320">
        <f t="shared" ref="ALX7" ca="1" si="2266">VLOOKUP(ALT7,AHN4:AHS40,5,FALSE)</f>
        <v>3</v>
      </c>
      <c r="ALY7" s="320">
        <f t="shared" ref="ALY7" ca="1" si="2267">VLOOKUP(ALT7,AHN4:AHS40,6,FALSE)</f>
        <v>6</v>
      </c>
      <c r="ALZ7" s="320">
        <f t="shared" ca="1" si="91"/>
        <v>997</v>
      </c>
      <c r="AMA7" s="320">
        <f t="shared" ca="1" si="92"/>
        <v>1</v>
      </c>
      <c r="AMB7" s="319">
        <f ca="1">VLOOKUP(ALT7,B4:J40,9,FALSE)</f>
        <v>38</v>
      </c>
      <c r="AMC7" s="319">
        <f t="shared" ref="AMC7" ca="1" si="2268">RANK(AMA7,AMA3:AMA8)</f>
        <v>4</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4</v>
      </c>
      <c r="AMH7" s="319" t="s">
        <v>105</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105</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105</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105</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105</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106</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1</v>
      </c>
      <c r="HZ8" s="322">
        <f ca="1">IF(OFFSET('Player Game Board'!Q15,0,HY1)&lt;&gt;"",OFFSET('Player Game Board'!Q15,0,HY1),0)</f>
        <v>1</v>
      </c>
      <c r="IA8" s="319" t="str">
        <f t="shared" si="165"/>
        <v>Denmark</v>
      </c>
      <c r="IB8" s="319" t="str">
        <f ca="1">IF(AND(OFFSET('Player Game Board'!P15,0,HY1)&lt;&gt;"",OFFSET('Player Game Board'!Q15,0,HY1)&lt;&gt;""),IF(HY8&gt;HZ8,"W",IF(HY8=HZ8,"D","L")),"")</f>
        <v>D</v>
      </c>
      <c r="IC8" s="319" t="str">
        <f t="shared" ca="1" si="166"/>
        <v>D</v>
      </c>
      <c r="ID8" s="319"/>
      <c r="IE8" s="319"/>
      <c r="IF8" s="319" t="str">
        <f ca="1">VLOOKUP(3,DY37:DZ40,2,FALSE)</f>
        <v>Czechia</v>
      </c>
      <c r="IG8" s="320">
        <f ca="1">VLOOKUP(IF8,DZ4:EE40,2,FALSE)</f>
        <v>1</v>
      </c>
      <c r="IH8" s="320">
        <f ca="1">VLOOKUP(IF8,DZ4:EE40,3,FALSE)</f>
        <v>1</v>
      </c>
      <c r="II8" s="320">
        <f ca="1">VLOOKUP(IF8,DZ4:EE40,4,FALSE)</f>
        <v>1</v>
      </c>
      <c r="IJ8" s="320">
        <f ca="1">VLOOKUP(IF8,DZ4:EE40,5,FALSE)</f>
        <v>5</v>
      </c>
      <c r="IK8" s="320">
        <f ca="1">VLOOKUP(IF8,DZ4:EE40,6,FALSE)</f>
        <v>6</v>
      </c>
      <c r="IL8" s="320">
        <f t="shared" ca="1" si="167"/>
        <v>999</v>
      </c>
      <c r="IM8" s="320">
        <f t="shared" ca="1" si="168"/>
        <v>4</v>
      </c>
      <c r="IN8" s="319">
        <f ca="1">VLOOKUP(IF8,B4:J40,9,FALSE)</f>
        <v>37</v>
      </c>
      <c r="IO8" s="319">
        <f ca="1">RANK(IM8,IM3:IM8)</f>
        <v>1</v>
      </c>
      <c r="IP8" s="319">
        <f ca="1">SUMPRODUCT((IO3:IO8=IO8)*(IL3:IL8&gt;IL8))</f>
        <v>1</v>
      </c>
      <c r="IQ8" s="319">
        <f ca="1">SUMPRODUCT((IO3:IO8=IO8)*(IL3:IL8=IL8)*(IJ3:IJ8&gt;IJ8))</f>
        <v>0</v>
      </c>
      <c r="IR8" s="319">
        <f ca="1">SUMPRODUCT((IO3:IO8=IO8)*(IL3:IL8=IL8)*(IJ3:IJ8=IJ8)*(IN3:IN8&gt;IN8))</f>
        <v>1</v>
      </c>
      <c r="IS8" s="319">
        <f t="shared" ca="1" si="169"/>
        <v>3</v>
      </c>
      <c r="IT8" s="319" t="s">
        <v>106</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Türkiye</v>
      </c>
      <c r="NE8" s="320">
        <f ca="1">VLOOKUP(ND8,IX4:JC40,2,FALSE)</f>
        <v>0</v>
      </c>
      <c r="NF8" s="320">
        <f ca="1">VLOOKUP(ND8,IX4:JC40,3,FALSE)</f>
        <v>2</v>
      </c>
      <c r="NG8" s="320">
        <f ca="1">VLOOKUP(ND8,IX4:JC40,4,FALSE)</f>
        <v>1</v>
      </c>
      <c r="NH8" s="320">
        <f ca="1">VLOOKUP(ND8,IX4:JC40,5,FALSE)</f>
        <v>4</v>
      </c>
      <c r="NI8" s="320">
        <f ca="1">VLOOKUP(ND8,IX4:JC40,6,FALSE)</f>
        <v>5</v>
      </c>
      <c r="NJ8" s="320">
        <f t="shared" ca="1" si="173"/>
        <v>999</v>
      </c>
      <c r="NK8" s="320">
        <f t="shared" ca="1" si="174"/>
        <v>2</v>
      </c>
      <c r="NL8" s="319">
        <f ca="1">VLOOKUP(ND8,B4:J40,9,FALSE)</f>
        <v>47</v>
      </c>
      <c r="NM8" s="319">
        <f ca="1">RANK(NK8,NK3:NK8)</f>
        <v>3</v>
      </c>
      <c r="NN8" s="319">
        <f ca="1">SUMPRODUCT((NM3:NM8=NM8)*(NJ3:NJ8&gt;NJ8))</f>
        <v>0</v>
      </c>
      <c r="NO8" s="319">
        <f ca="1">SUMPRODUCT((NM3:NM8=NM8)*(NJ3:NJ8=NJ8)*(NH3:NH8&gt;NH8))</f>
        <v>0</v>
      </c>
      <c r="NP8" s="319">
        <f ca="1">SUMPRODUCT((NM3:NM8=NM8)*(NJ3:NJ8=NJ8)*(NH3:NH8=NH8)*(NL3:NL8&gt;NL8))</f>
        <v>0</v>
      </c>
      <c r="NQ8" s="319">
        <f t="shared" ca="1" si="175"/>
        <v>3</v>
      </c>
      <c r="NR8" s="319" t="s">
        <v>106</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Czechia</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4</v>
      </c>
      <c r="SH8" s="320">
        <f t="shared" ca="1" si="27"/>
        <v>998</v>
      </c>
      <c r="SI8" s="320">
        <f t="shared" ca="1" si="28"/>
        <v>3</v>
      </c>
      <c r="SJ8" s="319">
        <f ca="1">VLOOKUP(SB8,B4:J40,9,FALSE)</f>
        <v>37</v>
      </c>
      <c r="SK8" s="319">
        <f t="shared" ref="SK8" ca="1" si="2622">RANK(SI8,SI3:SI8)</f>
        <v>2</v>
      </c>
      <c r="SL8" s="319">
        <f t="shared" ref="SL8" ca="1" si="2623">SUMPRODUCT((SK3:SK8=SK8)*(SH3:SH8&gt;SH8))</f>
        <v>1</v>
      </c>
      <c r="SM8" s="319">
        <f t="shared" ref="SM8" ca="1" si="2624">SUMPRODUCT((SK3:SK8=SK8)*(SH3:SH8=SH8)*(SF3:SF8&gt;SF8))</f>
        <v>0</v>
      </c>
      <c r="SN8" s="319">
        <f t="shared" ref="SN8" ca="1" si="2625">SUMPRODUCT((SK3:SK8=SK8)*(SH3:SH8=SH8)*(SF3:SF8=SF8)*(SJ3:SJ8&gt;SJ8))</f>
        <v>0</v>
      </c>
      <c r="SO8" s="319">
        <f t="shared" ca="1" si="33"/>
        <v>3</v>
      </c>
      <c r="SP8" s="319" t="s">
        <v>106</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1</v>
      </c>
      <c r="WT8" s="322">
        <f ca="1">IF(OFFSET('Player Game Board'!Q15,0,WS1)&lt;&gt;"",OFFSET('Player Game Board'!Q15,0,WS1),0)</f>
        <v>2</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Czechia</v>
      </c>
      <c r="XA8" s="320">
        <f t="shared" ref="XA8" ca="1" si="2627">VLOOKUP(WZ8,ST4:SY40,2,FALSE)</f>
        <v>1</v>
      </c>
      <c r="XB8" s="320">
        <f t="shared" ref="XB8" ca="1" si="2628">VLOOKUP(WZ8,ST4:SY40,3,FALSE)</f>
        <v>1</v>
      </c>
      <c r="XC8" s="320">
        <f t="shared" ref="XC8" ca="1" si="2629">VLOOKUP(WZ8,ST4:SY40,4,FALSE)</f>
        <v>1</v>
      </c>
      <c r="XD8" s="320">
        <f t="shared" ref="XD8" ca="1" si="2630">VLOOKUP(WZ8,ST4:SY40,5,FALSE)</f>
        <v>2</v>
      </c>
      <c r="XE8" s="320">
        <f t="shared" ref="XE8" ca="1" si="2631">VLOOKUP(WZ8,ST4:SY40,6,FALSE)</f>
        <v>2</v>
      </c>
      <c r="XF8" s="320">
        <f t="shared" ca="1" si="43"/>
        <v>1000</v>
      </c>
      <c r="XG8" s="320">
        <f t="shared" ca="1" si="44"/>
        <v>4</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0</v>
      </c>
      <c r="XM8" s="319">
        <f t="shared" ca="1" si="49"/>
        <v>1</v>
      </c>
      <c r="XN8" s="319" t="s">
        <v>106</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2</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0</v>
      </c>
      <c r="ABZ8" s="320">
        <f t="shared" ref="ABZ8" ca="1" si="2638">VLOOKUP(ABX8,XR4:XW40,3,FALSE)</f>
        <v>1</v>
      </c>
      <c r="ACA8" s="320">
        <f t="shared" ref="ACA8" ca="1" si="2639">VLOOKUP(ABX8,XR4:XW40,4,FALSE)</f>
        <v>2</v>
      </c>
      <c r="ACB8" s="320">
        <f t="shared" ref="ACB8" ca="1" si="2640">VLOOKUP(ABX8,XR4:XW40,5,FALSE)</f>
        <v>3</v>
      </c>
      <c r="ACC8" s="320">
        <f t="shared" ref="ACC8" ca="1" si="2641">VLOOKUP(ABX8,XR4:XW40,6,FALSE)</f>
        <v>6</v>
      </c>
      <c r="ACD8" s="320">
        <f t="shared" ca="1" si="59"/>
        <v>997</v>
      </c>
      <c r="ACE8" s="320">
        <f t="shared" ca="1" si="60"/>
        <v>1</v>
      </c>
      <c r="ACF8" s="319">
        <f ca="1">VLOOKUP(ABX8,B4:J40,9,FALSE)</f>
        <v>37</v>
      </c>
      <c r="ACG8" s="319">
        <f t="shared" ref="ACG8" ca="1" si="2642">RANK(ACE8,ACE3:ACE8)</f>
        <v>6</v>
      </c>
      <c r="ACH8" s="319">
        <f t="shared" ref="ACH8" ca="1" si="2643">SUMPRODUCT((ACG3:ACG8=ACG8)*(ACD3:ACD8&gt;ACD8))</f>
        <v>0</v>
      </c>
      <c r="ACI8" s="319">
        <f t="shared" ref="ACI8" ca="1" si="2644">SUMPRODUCT((ACG3:ACG8=ACG8)*(ACD3:ACD8=ACD8)*(ACB3:ACB8&gt;ACB8))</f>
        <v>0</v>
      </c>
      <c r="ACJ8" s="319">
        <f t="shared" ref="ACJ8" ca="1" si="2645">SUMPRODUCT((ACG3:ACG8=ACG8)*(ACD3:ACD8=ACD8)*(ACB3:ACB8=ACB8)*(ACF3:ACF8&gt;ACF8))</f>
        <v>0</v>
      </c>
      <c r="ACK8" s="319">
        <f t="shared" ca="1" si="65"/>
        <v>6</v>
      </c>
      <c r="ACL8" s="319" t="s">
        <v>106</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2</v>
      </c>
      <c r="AGQ8" s="319" t="str">
        <f t="shared" si="67"/>
        <v>Denmark</v>
      </c>
      <c r="AGR8" s="319" t="str">
        <f ca="1">IF(AND(OFFSET('Player Game Board'!P15,0,AGO1)&lt;&gt;"",OFFSET('Player Game Board'!Q15,0,AGO1)&lt;&gt;""),IF(AGO8&gt;AGP8,"W",IF(AGO8=AGP8,"D","L")),"")</f>
        <v>L</v>
      </c>
      <c r="AGS8" s="319" t="str">
        <f t="shared" ca="1" si="68"/>
        <v>W</v>
      </c>
      <c r="AGT8" s="319"/>
      <c r="AGU8" s="319"/>
      <c r="AGV8" s="319" t="str">
        <f t="shared" ref="AGV8" ca="1" si="2646">VLOOKUP(3,ACO37:ACP40,2,FALSE)</f>
        <v>Türkiye</v>
      </c>
      <c r="AGW8" s="320">
        <f t="shared" ref="AGW8" ca="1" si="2647">VLOOKUP(AGV8,ACP4:ACU40,2,FALSE)</f>
        <v>1</v>
      </c>
      <c r="AGX8" s="320">
        <f t="shared" ref="AGX8" ca="1" si="2648">VLOOKUP(AGV8,ACP4:ACU40,3,FALSE)</f>
        <v>1</v>
      </c>
      <c r="AGY8" s="320">
        <f t="shared" ref="AGY8" ca="1" si="2649">VLOOKUP(AGV8,ACP4:ACU40,4,FALSE)</f>
        <v>1</v>
      </c>
      <c r="AGZ8" s="320">
        <f t="shared" ref="AGZ8" ca="1" si="2650">VLOOKUP(AGV8,ACP4:ACU40,5,FALSE)</f>
        <v>4</v>
      </c>
      <c r="AHA8" s="320">
        <f t="shared" ref="AHA8" ca="1" si="2651">VLOOKUP(AGV8,ACP4:ACU40,6,FALSE)</f>
        <v>5</v>
      </c>
      <c r="AHB8" s="320">
        <f t="shared" ca="1" si="75"/>
        <v>999</v>
      </c>
      <c r="AHC8" s="320">
        <f t="shared" ca="1" si="76"/>
        <v>4</v>
      </c>
      <c r="AHD8" s="319">
        <f ca="1">VLOOKUP(AGV8,B4:J40,9,FALSE)</f>
        <v>47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0</v>
      </c>
      <c r="AHI8" s="319">
        <f t="shared" ca="1" si="81"/>
        <v>1</v>
      </c>
      <c r="AHJ8" s="319" t="s">
        <v>106</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1</v>
      </c>
      <c r="ALN8" s="322">
        <f ca="1">IF(OFFSET('Player Game Board'!Q15,0,ALM1)&lt;&gt;"",OFFSET('Player Game Board'!Q15,0,ALM1),0)</f>
        <v>3</v>
      </c>
      <c r="ALO8" s="319" t="str">
        <f t="shared" si="83"/>
        <v>Denmark</v>
      </c>
      <c r="ALP8" s="319" t="str">
        <f ca="1">IF(AND(OFFSET('Player Game Board'!P15,0,ALM1)&lt;&gt;"",OFFSET('Player Game Board'!Q15,0,ALM1)&lt;&gt;""),IF(ALM8&gt;ALN8,"W",IF(ALM8=ALN8,"D","L")),"")</f>
        <v>L</v>
      </c>
      <c r="ALQ8" s="319" t="str">
        <f t="shared" ca="1" si="84"/>
        <v>W</v>
      </c>
      <c r="ALR8" s="319"/>
      <c r="ALS8" s="319"/>
      <c r="ALT8" s="319" t="str">
        <f t="shared" ref="ALT8" ca="1" si="2656">VLOOKUP(3,AHM37:AHN40,2,FALSE)</f>
        <v>Czechia</v>
      </c>
      <c r="ALU8" s="320">
        <f t="shared" ref="ALU8" ca="1" si="2657">VLOOKUP(ALT8,AHN4:AHS40,2,FALSE)</f>
        <v>1</v>
      </c>
      <c r="ALV8" s="320">
        <f t="shared" ref="ALV8" ca="1" si="2658">VLOOKUP(ALT8,AHN4:AHS40,3,FALSE)</f>
        <v>0</v>
      </c>
      <c r="ALW8" s="320">
        <f t="shared" ref="ALW8" ca="1" si="2659">VLOOKUP(ALT8,AHN4:AHS40,4,FALSE)</f>
        <v>2</v>
      </c>
      <c r="ALX8" s="320">
        <f t="shared" ref="ALX8" ca="1" si="2660">VLOOKUP(ALT8,AHN4:AHS40,5,FALSE)</f>
        <v>4</v>
      </c>
      <c r="ALY8" s="320">
        <f t="shared" ref="ALY8" ca="1" si="2661">VLOOKUP(ALT8,AHN4:AHS40,6,FALSE)</f>
        <v>4</v>
      </c>
      <c r="ALZ8" s="320">
        <f t="shared" ca="1" si="91"/>
        <v>1000</v>
      </c>
      <c r="AMA8" s="320">
        <f t="shared" ca="1" si="92"/>
        <v>3</v>
      </c>
      <c r="AMB8" s="319">
        <f ca="1">VLOOKUP(ALT8,B4:J40,9,FALSE)</f>
        <v>37</v>
      </c>
      <c r="AMC8" s="319">
        <f t="shared" ref="AMC8" ca="1" si="2662">RANK(AMA8,AMA3:AMA8)</f>
        <v>3</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0</v>
      </c>
      <c r="AMG8" s="319">
        <f t="shared" ca="1" si="97"/>
        <v>3</v>
      </c>
      <c r="AMH8" s="319" t="s">
        <v>106</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106</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106</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106</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106</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93</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93</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0</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93</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2</v>
      </c>
      <c r="MX9" s="322">
        <f ca="1">IF(OFFSET('Player Game Board'!Q16,0,MW1)&lt;&gt;"",OFFSET('Player Game Board'!Q16,0,MW1),0)</f>
        <v>2</v>
      </c>
      <c r="MY9" s="319" t="str">
        <f t="shared" si="171"/>
        <v>Netherlands</v>
      </c>
      <c r="MZ9" s="319" t="str">
        <f ca="1">IF(AND(OFFSET('Player Game Board'!P16,0,MW1)&lt;&gt;"",OFFSET('Player Game Board'!Q16,0,MW1)&lt;&gt;""),IF(MW9&gt;MX9,"W",IF(MW9=MX9,"D","L")),"")</f>
        <v>D</v>
      </c>
      <c r="NA9" s="319" t="str">
        <f t="shared" ca="1" si="172"/>
        <v>D</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93</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93</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D</v>
      </c>
      <c r="WW9" s="319" t="str">
        <f t="shared" ca="1" si="36"/>
        <v>D</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93</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93</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93</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2</v>
      </c>
      <c r="ALN9" s="322">
        <f ca="1">IF(OFFSET('Player Game Board'!Q16,0,ALM1)&lt;&gt;"",OFFSET('Player Game Board'!Q16,0,ALM1),0)</f>
        <v>3</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93</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93</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93</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93</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2</v>
      </c>
      <c r="HZ10" s="322">
        <f ca="1">IF(OFFSET('Player Game Board'!Q17,0,HY1)&lt;&gt;"",OFFSET('Player Game Board'!Q17,0,HY1),0)</f>
        <v>2</v>
      </c>
      <c r="IA10" s="319" t="str">
        <f t="shared" si="165"/>
        <v>France</v>
      </c>
      <c r="IB10" s="319" t="str">
        <f ca="1">IF(AND(OFFSET('Player Game Board'!P17,0,HY1)&lt;&gt;"",OFFSET('Player Game Board'!Q17,0,HY1)&lt;&gt;""),IF(HY10&gt;HZ10,"W",IF(HY10=HZ10,"D","L")),"")</f>
        <v>D</v>
      </c>
      <c r="IC10" s="319" t="str">
        <f t="shared" ca="1" si="166"/>
        <v>D</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0</v>
      </c>
      <c r="MX10" s="322">
        <f ca="1">IF(OFFSET('Player Game Board'!Q17,0,MW1)&lt;&gt;"",OFFSET('Player Game Board'!Q17,0,MW1),0)</f>
        <v>2</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2</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3</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2</v>
      </c>
      <c r="EB11" s="319">
        <f ca="1">SUMPRODUCT((HX3:HX42=DZ11)*(IB3:IB42="D"))+SUMPRODUCT((IA3:IA42=DZ11)*(IC3:IC42="D"))</f>
        <v>1</v>
      </c>
      <c r="EC11" s="319">
        <f ca="1">SUMPRODUCT((HX3:HX42=DZ11)*(IB3:IB42="L"))+SUMPRODUCT((IA3:IA42=DZ11)*(IC3:IC42="L"))</f>
        <v>0</v>
      </c>
      <c r="ED11" s="319">
        <f ca="1">SUMIF(HX3:HX60,DZ11,HY3:HY60)+SUMIF(IA3:IA60,DZ11,HZ3:HZ60)</f>
        <v>8</v>
      </c>
      <c r="EE11" s="319">
        <f ca="1">SUMIF(IA3:IA60,DZ11,HY3:HY60)+SUMIF(HX3:HX60,DZ11,HZ3:HZ60)</f>
        <v>4</v>
      </c>
      <c r="EF11" s="319">
        <f t="shared" ref="EF11:EF14" ca="1" si="2710">ED11-EE11+1000</f>
        <v>1004</v>
      </c>
      <c r="EG11" s="319">
        <f t="shared" ref="EG11:EG14" ca="1" si="2711">EA11*3+EB11*1</f>
        <v>7</v>
      </c>
      <c r="EH11" s="319">
        <f t="shared" si="609"/>
        <v>36</v>
      </c>
      <c r="EI11" s="319">
        <f ca="1">IF(COUNTIF(EG11:EG15,4)&lt;&gt;4,RANK(EG11,EG11:EG15),EG51)</f>
        <v>1</v>
      </c>
      <c r="EJ11" s="319"/>
      <c r="EK11" s="319">
        <f ca="1">SUMPRODUCT((EI11:EI14=EI11)*(EH11:EH14&lt;EH11))+EI11</f>
        <v>1</v>
      </c>
      <c r="EL11" s="319" t="str">
        <f ca="1">INDEX(DZ11:DZ15,MATCH(1,EK11:EK15,0),0)</f>
        <v>Italy</v>
      </c>
      <c r="EM11" s="319">
        <f ca="1">INDEX(EI11:EI15,MATCH(EL11,DZ11:DZ15,0),0)</f>
        <v>1</v>
      </c>
      <c r="EN11" s="319" t="str">
        <f ca="1">IF(EM12=1,EL11,"")</f>
        <v>Italy</v>
      </c>
      <c r="EO11" s="319" t="str">
        <f ca="1">IF(EM13=2,EL12,"")</f>
        <v/>
      </c>
      <c r="EP11" s="319" t="str">
        <f ca="1">IF(EM14=3,EL13,"")</f>
        <v/>
      </c>
      <c r="EQ11" s="319" t="str">
        <f>IF(EM15=4,EL14,"")</f>
        <v/>
      </c>
      <c r="ER11" s="319"/>
      <c r="ES11" s="319" t="str">
        <f ca="1">IF(EN11&lt;&gt;"",EN11,"")</f>
        <v>Italy</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19">
        <f ca="1">EW11-EX11+1000</f>
        <v>1000</v>
      </c>
      <c r="EZ11" s="319">
        <f t="shared" ref="EZ11:EZ14" ca="1" si="2712">IF(ES11&lt;&gt;"",ET11*3+EU11*1,"")</f>
        <v>1</v>
      </c>
      <c r="FA11" s="319">
        <f ca="1">IF(ES11&lt;&gt;"",VLOOKUP(ES11,DZ4:EF40,7,FALSE),"")</f>
        <v>1004</v>
      </c>
      <c r="FB11" s="319">
        <f ca="1">IF(ES11&lt;&gt;"",VLOOKUP(ES11,DZ4:EF40,5,FALSE),"")</f>
        <v>8</v>
      </c>
      <c r="FC11" s="319">
        <f ca="1">IF(ES11&lt;&gt;"",VLOOKUP(ES11,DZ4:EH40,9,FALSE),"")</f>
        <v>36</v>
      </c>
      <c r="FD11" s="319">
        <f t="shared" ref="FD11:FD14" ca="1" si="2713">EZ11</f>
        <v>1</v>
      </c>
      <c r="FE11" s="319">
        <f ca="1">IF(ES11&lt;&gt;"",RANK(FD11,FD11:FD15),"")</f>
        <v>1</v>
      </c>
      <c r="FF11" s="319">
        <f ca="1">IF(ES11&lt;&gt;"",SUMPRODUCT((FD11:FD15=FD11)*(EY11:EY15&gt;EY11)),"")</f>
        <v>0</v>
      </c>
      <c r="FG11" s="319">
        <f ca="1">IF(ES11&lt;&gt;"",SUMPRODUCT((FD11:FD15=FD11)*(EY11:EY15=EY11)*(EW11:EW15&gt;EW11)),"")</f>
        <v>0</v>
      </c>
      <c r="FH11" s="319">
        <f ca="1">IF(ES11&lt;&gt;"",SUMPRODUCT((FD11:FD15=FD11)*(EY11:EY15=EY11)*(EW11:EW15=EW11)*(FA11:FA15&gt;FA11)),"")</f>
        <v>1</v>
      </c>
      <c r="FI11" s="319">
        <f ca="1">IF(ES11&lt;&gt;"",SUMPRODUCT((FD11:FD15=FD11)*(EY11:EY15=EY11)*(EW11:EW15=EW11)*(FA11:FA15=FA11)*(FB11:FB15&gt;FB11)),"")</f>
        <v>0</v>
      </c>
      <c r="FJ11" s="319">
        <f ca="1">IF(ES11&lt;&gt;"",SUMPRODUCT((FD11:FD15=FD11)*(EY11:EY15=EY11)*(EW11:EW15=EW11)*(FA11:FA15=FA11)*(FB11:FB15=FB11)*(FC11:FC15&gt;FC11)),"")</f>
        <v>0</v>
      </c>
      <c r="FK11" s="319">
        <f ca="1">IF(ES11&lt;&gt;"",IF(FK51&lt;&gt;"",IF(ER50=3,FK51,FK51+ER50),SUM(FE11:FJ11)),"")</f>
        <v>2</v>
      </c>
      <c r="FL11" s="319" t="str">
        <f ca="1">IF(ES11&lt;&gt;"",INDEX(ES11:ES15,MATCH(1,FK11:FK15,0),0),"")</f>
        <v>Spain</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1</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2</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4</v>
      </c>
      <c r="JC11" s="319">
        <f ca="1">SUMIF(MY3:MY60,IX11,MW3:MW60)+SUMIF(MV3:MV60,IX11,MX3:MX60)</f>
        <v>2</v>
      </c>
      <c r="JD11" s="319">
        <f t="shared" ref="JD11:JD14" ca="1" si="2714">JB11-JC11+1000</f>
        <v>1002</v>
      </c>
      <c r="JE11" s="319">
        <f t="shared" ref="JE11:JE14" ca="1" si="2715">IY11*3+IZ11*1</f>
        <v>5</v>
      </c>
      <c r="JF11" s="319">
        <f t="shared" si="618"/>
        <v>36</v>
      </c>
      <c r="JG11" s="319">
        <f ca="1">IF(COUNTIF(JE11:JE15,4)&lt;&gt;4,RANK(JE11,JE11:JE15),JE51)</f>
        <v>2</v>
      </c>
      <c r="JH11" s="319"/>
      <c r="JI11" s="319">
        <f ca="1">SUMPRODUCT((JG11:JG14=JG11)*(JF11:JF14&lt;JF11))+JG11</f>
        <v>2</v>
      </c>
      <c r="JJ11" s="319" t="str">
        <f ca="1">INDEX(IX11:IX15,MATCH(1,JI11:JI15,0),0)</f>
        <v>Spain</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1</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2</v>
      </c>
      <c r="NX11" s="319">
        <f t="shared" ref="NX11" ca="1" si="2721">SUMPRODUCT((RT3:RT42=NV11)*(RX3:RX42="D"))+SUMPRODUCT((RW3:RW42=NV11)*(RY3:RY42="D"))</f>
        <v>1</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2</v>
      </c>
      <c r="OB11" s="319">
        <f t="shared" ref="OB11:OB14" ca="1" si="2725">NZ11-OA11+1000</f>
        <v>1003</v>
      </c>
      <c r="OC11" s="319">
        <f t="shared" ref="OC11:OC14" ca="1" si="2726">NW11*3+NX11*1</f>
        <v>7</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19">
        <f t="shared" ref="OU11:OU14" ca="1" si="2741">OS11-OT11+1000</f>
        <v>1000</v>
      </c>
      <c r="OV11" s="319">
        <f t="shared" ref="OV11:OV14" ca="1" si="2742">IF(OO11&lt;&gt;"",OP11*3+OQ11*1,"")</f>
        <v>1</v>
      </c>
      <c r="OW11" s="319">
        <f t="shared" ref="OW11" ca="1" si="2743">IF(OO11&lt;&gt;"",VLOOKUP(OO11,NV4:OB40,7,FALSE),"")</f>
        <v>1003</v>
      </c>
      <c r="OX11" s="319">
        <f t="shared" ref="OX11" ca="1" si="2744">IF(OO11&lt;&gt;"",VLOOKUP(OO11,NV4:OB40,5,FALSE),"")</f>
        <v>5</v>
      </c>
      <c r="OY11" s="319">
        <f t="shared" ref="OY11" ca="1" si="2745">IF(OO11&lt;&gt;"",VLOOKUP(OO11,NV4:OD40,9,FALSE),"")</f>
        <v>36</v>
      </c>
      <c r="OZ11" s="319">
        <f t="shared" ref="OZ11:OZ14" ca="1" si="2746">OV11</f>
        <v>1</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1</v>
      </c>
      <c r="PG11" s="319">
        <f ca="1">IF(OO11&lt;&gt;"",IF(PG51&lt;&gt;"",IF(ON50=3,PG51,PG51+ON50),SUM(PA11:PF11)),"")</f>
        <v>2</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D</v>
      </c>
      <c r="RY11" s="319" t="str">
        <f t="shared" ca="1" si="20"/>
        <v>D</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2</v>
      </c>
      <c r="ST11" s="319" t="str">
        <f t="shared" ref="ST11:ST14" si="2756">NV11</f>
        <v>Italy</v>
      </c>
      <c r="SU11" s="319">
        <f t="shared" ref="SU11" ca="1" si="2757">SUMPRODUCT((WR3:WR42=ST11)*(WV3:WV42="W"))+SUMPRODUCT((WU3:WU42=ST11)*(WW3:WW42="W"))</f>
        <v>2</v>
      </c>
      <c r="SV11" s="319">
        <f t="shared" ref="SV11" ca="1" si="2758">SUMPRODUCT((WR3:WR42=ST11)*(WV3:WV42="D"))+SUMPRODUCT((WU3:WU42=ST11)*(WW3:WW42="D"))</f>
        <v>1</v>
      </c>
      <c r="SW11" s="319">
        <f t="shared" ref="SW11" ca="1" si="2759">SUMPRODUCT((WR3:WR42=ST11)*(WV3:WV42="L"))+SUMPRODUCT((WU3:WU42=ST11)*(WW3:WW42="L"))</f>
        <v>0</v>
      </c>
      <c r="SX11" s="319">
        <f t="shared" ref="SX11" ca="1" si="2760">SUMIF(WR3:WR60,ST11,WS3:WS60)+SUMIF(WU3:WU60,ST11,WT3:WT60)</f>
        <v>7</v>
      </c>
      <c r="SY11" s="319">
        <f t="shared" ref="SY11" ca="1" si="2761">SUMIF(WU3:WU60,ST11,WS3:WS60)+SUMIF(WR3:WR60,ST11,WT3:WT60)</f>
        <v>2</v>
      </c>
      <c r="SZ11" s="319">
        <f t="shared" ref="SZ11:SZ14" ca="1" si="2762">SX11-SY11+1000</f>
        <v>1005</v>
      </c>
      <c r="TA11" s="319">
        <f t="shared" ref="TA11:TA14" ca="1" si="2763">SU11*3+SV11*1</f>
        <v>7</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19">
        <f t="shared" ref="TS11:TS14" ca="1" si="2778">TQ11-TR11+1000</f>
        <v>1000</v>
      </c>
      <c r="TT11" s="319">
        <f t="shared" ref="TT11:TT14" ca="1" si="2779">IF(TM11&lt;&gt;"",TN11*3+TO11*1,"")</f>
        <v>1</v>
      </c>
      <c r="TU11" s="319">
        <f t="shared" ref="TU11" ca="1" si="2780">IF(TM11&lt;&gt;"",VLOOKUP(TM11,ST4:SZ40,7,FALSE),"")</f>
        <v>1005</v>
      </c>
      <c r="TV11" s="319">
        <f t="shared" ref="TV11" ca="1" si="2781">IF(TM11&lt;&gt;"",VLOOKUP(TM11,ST4:SZ40,5,FALSE),"")</f>
        <v>7</v>
      </c>
      <c r="TW11" s="319">
        <f t="shared" ref="TW11" ca="1" si="2782">IF(TM11&lt;&gt;"",VLOOKUP(TM11,ST4:TB40,9,FALSE),"")</f>
        <v>36</v>
      </c>
      <c r="TX11" s="319">
        <f t="shared" ref="TX11:TX14" ca="1" si="2783">TT11</f>
        <v>1</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1</v>
      </c>
      <c r="UC11" s="319">
        <f t="shared" ref="UC11" ca="1" si="2788">IF(TM11&lt;&gt;"",SUMPRODUCT((TX11:TX15=TX11)*(TS11:TS15=TS11)*(TQ11:TQ15=TQ11)*(TU11:TU15=TU11)*(TV11:TV15&gt;TV11)),"")</f>
        <v>0</v>
      </c>
      <c r="UD11" s="319">
        <f t="shared" ref="UD11" ca="1" si="2789">IF(TM11&lt;&gt;"",SUMPRODUCT((TX11:TX15=TX11)*(TS11:TS15=TS11)*(TQ11:TQ15=TQ11)*(TU11:TU15=TU11)*(TV11:TV15=TV11)*(TW11:TW15&gt;TW11)),"")</f>
        <v>0</v>
      </c>
      <c r="UE11" s="319">
        <f ca="1">IF(TM11&lt;&gt;"",IF(UE51&lt;&gt;"",IF(TL50=3,UE51,UE51+TL50),SUM(TY11:UD11)),"")</f>
        <v>2</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3</v>
      </c>
      <c r="WT11" s="322">
        <f ca="1">IF(OFFSET('Player Game Board'!Q18,0,WS1)&lt;&gt;"",OFFSET('Player Game Board'!Q18,0,WS1),0)</f>
        <v>1</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1</v>
      </c>
      <c r="XR11" s="319" t="str">
        <f t="shared" ref="XR11:XR14" si="2793">ST11</f>
        <v>Italy</v>
      </c>
      <c r="XS11" s="319">
        <f t="shared" ref="XS11" ca="1" si="2794">SUMPRODUCT((ABP3:ABP42=XR11)*(ABT3:ABT42="W"))+SUMPRODUCT((ABS3:ABS42=XR11)*(ABU3:ABU42="W"))</f>
        <v>2</v>
      </c>
      <c r="XT11" s="319">
        <f t="shared" ref="XT11" ca="1" si="2795">SUMPRODUCT((ABP3:ABP42=XR11)*(ABT3:ABT42="D"))+SUMPRODUCT((ABS3:ABS42=XR11)*(ABU3:ABU42="D"))</f>
        <v>1</v>
      </c>
      <c r="XU11" s="319">
        <f t="shared" ref="XU11" ca="1" si="2796">SUMPRODUCT((ABP3:ABP42=XR11)*(ABT3:ABT42="L"))+SUMPRODUCT((ABS3:ABS42=XR11)*(ABU3:ABU42="L"))</f>
        <v>0</v>
      </c>
      <c r="XV11" s="319">
        <f t="shared" ref="XV11" ca="1" si="2797">SUMIF(ABP3:ABP60,XR11,ABQ3:ABQ60)+SUMIF(ABS3:ABS60,XR11,ABR3:ABR60)</f>
        <v>6</v>
      </c>
      <c r="XW11" s="319">
        <f t="shared" ref="XW11" ca="1" si="2798">SUMIF(ABS3:ABS60,XR11,ABQ3:ABQ60)+SUMIF(ABP3:ABP60,XR11,ABR3:ABR60)</f>
        <v>2</v>
      </c>
      <c r="XX11" s="319">
        <f t="shared" ref="XX11:XX14" ca="1" si="2799">XV11-XW11+1000</f>
        <v>1004</v>
      </c>
      <c r="XY11" s="319">
        <f t="shared" ref="XY11:XY14" ca="1" si="2800">XS11*3+XT11*1</f>
        <v>7</v>
      </c>
      <c r="XZ11" s="319">
        <f t="shared" si="750"/>
        <v>36</v>
      </c>
      <c r="YA11" s="319">
        <f t="shared" ref="YA11" ca="1" si="2801">IF(COUNTIF(XY11:XY15,4)&lt;&gt;4,RANK(XY11,XY11:XY15),XY51)</f>
        <v>1</v>
      </c>
      <c r="YB11" s="319"/>
      <c r="YC11" s="319">
        <f t="shared" ref="YC11" ca="1" si="2802">SUMPRODUCT((YA11:YA14=YA11)*(XZ11:XZ14&lt;XZ11))+YA11</f>
        <v>1</v>
      </c>
      <c r="YD11" s="319" t="str">
        <f t="shared" ref="YD11" ca="1" si="2803">INDEX(XR11:XR15,MATCH(1,YC11:YC15,0),0)</f>
        <v>Italy</v>
      </c>
      <c r="YE11" s="319">
        <f t="shared" ref="YE11" ca="1" si="2804">INDEX(YA11:YA15,MATCH(YD11,XR11:XR15,0),0)</f>
        <v>1</v>
      </c>
      <c r="YF11" s="319" t="str">
        <f t="shared" ref="YF11" ca="1" si="2805">IF(YE12=1,YD11,"")</f>
        <v/>
      </c>
      <c r="YG11" s="319" t="str">
        <f t="shared" ref="YG11" ca="1" si="2806">IF(YE13=2,YD12,"")</f>
        <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Italy</v>
      </c>
      <c r="ABN11" s="319">
        <v>1</v>
      </c>
      <c r="ABO11" s="319">
        <v>9</v>
      </c>
      <c r="ABP11" s="319" t="str">
        <f t="shared" si="50"/>
        <v>Belgium</v>
      </c>
      <c r="ABQ11" s="322">
        <f ca="1">IF(OFFSET('Player Game Board'!P18,0,ABQ1)&lt;&gt;"",OFFSET('Player Game Board'!P18,0,ABQ1),0)</f>
        <v>1</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2</v>
      </c>
      <c r="ACP11" s="319" t="str">
        <f t="shared" ref="ACP11:ACP14" si="2830">XR11</f>
        <v>Italy</v>
      </c>
      <c r="ACQ11" s="319">
        <f t="shared" ref="ACQ11" ca="1" si="2831">SUMPRODUCT((AGN3:AGN42=ACP11)*(AGR3:AGR42="W"))+SUMPRODUCT((AGQ3:AGQ42=ACP11)*(AGS3:AGS42="W"))</f>
        <v>2</v>
      </c>
      <c r="ACR11" s="319">
        <f t="shared" ref="ACR11" ca="1" si="2832">SUMPRODUCT((AGN3:AGN42=ACP11)*(AGR3:AGR42="D"))+SUMPRODUCT((AGQ3:AGQ42=ACP11)*(AGS3:AGS42="D"))</f>
        <v>1</v>
      </c>
      <c r="ACS11" s="319">
        <f t="shared" ref="ACS11" ca="1" si="2833">SUMPRODUCT((AGN3:AGN42=ACP11)*(AGR3:AGR42="L"))+SUMPRODUCT((AGQ3:AGQ42=ACP11)*(AGS3:AGS42="L"))</f>
        <v>0</v>
      </c>
      <c r="ACT11" s="319">
        <f t="shared" ref="ACT11" ca="1" si="2834">SUMIF(AGN3:AGN60,ACP11,AGO3:AGO60)+SUMIF(AGQ3:AGQ60,ACP11,AGP3:AGP60)</f>
        <v>6</v>
      </c>
      <c r="ACU11" s="319">
        <f t="shared" ref="ACU11" ca="1" si="2835">SUMIF(AGQ3:AGQ60,ACP11,AGO3:AGO60)+SUMIF(AGN3:AGN60,ACP11,AGP3:AGP60)</f>
        <v>2</v>
      </c>
      <c r="ACV11" s="319">
        <f t="shared" ref="ACV11:ACV14" ca="1" si="2836">ACT11-ACU11+1000</f>
        <v>1004</v>
      </c>
      <c r="ACW11" s="319">
        <f t="shared" ref="ACW11:ACW14" ca="1" si="2837">ACQ11*3+ACR11*1</f>
        <v>7</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19">
        <f t="shared" ref="ADO11:ADO14" ca="1" si="2852">ADM11-ADN11+1000</f>
        <v>1000</v>
      </c>
      <c r="ADP11" s="319">
        <f t="shared" ref="ADP11:ADP14" ca="1" si="2853">IF(ADI11&lt;&gt;"",ADJ11*3+ADK11*1,"")</f>
        <v>1</v>
      </c>
      <c r="ADQ11" s="319">
        <f t="shared" ref="ADQ11" ca="1" si="2854">IF(ADI11&lt;&gt;"",VLOOKUP(ADI11,ACP4:ACV40,7,FALSE),"")</f>
        <v>1004</v>
      </c>
      <c r="ADR11" s="319">
        <f t="shared" ref="ADR11" ca="1" si="2855">IF(ADI11&lt;&gt;"",VLOOKUP(ADI11,ACP4:ACV40,5,FALSE),"")</f>
        <v>6</v>
      </c>
      <c r="ADS11" s="319">
        <f t="shared" ref="ADS11" ca="1" si="2856">IF(ADI11&lt;&gt;"",VLOOKUP(ADI11,ACP4:ACX40,9,FALSE),"")</f>
        <v>36</v>
      </c>
      <c r="ADT11" s="319">
        <f t="shared" ref="ADT11:ADT14" ca="1" si="2857">ADP11</f>
        <v>1</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1</v>
      </c>
      <c r="AEA11" s="319">
        <f ca="1">IF(ADI11&lt;&gt;"",IF(AEA51&lt;&gt;"",IF(ADH50=3,AEA51,AEA51+ADH50),SUM(ADU11:ADZ11)),"")</f>
        <v>2</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3</v>
      </c>
      <c r="AHN11" s="319" t="str">
        <f t="shared" ref="AHN11:AHN14" si="2867">ACP11</f>
        <v>Italy</v>
      </c>
      <c r="AHO11" s="319">
        <f t="shared" ref="AHO11" ca="1" si="2868">SUMPRODUCT((ALL3:ALL42=AHN11)*(ALP3:ALP42="W"))+SUMPRODUCT((ALO3:ALO42=AHN11)*(ALQ3:ALQ42="W"))</f>
        <v>1</v>
      </c>
      <c r="AHP11" s="319">
        <f t="shared" ref="AHP11" ca="1" si="2869">SUMPRODUCT((ALL3:ALL42=AHN11)*(ALP3:ALP42="D"))+SUMPRODUCT((ALO3:ALO42=AHN11)*(ALQ3:ALQ42="D"))</f>
        <v>1</v>
      </c>
      <c r="AHQ11" s="319">
        <f t="shared" ref="AHQ11" ca="1" si="2870">SUMPRODUCT((ALL3:ALL42=AHN11)*(ALP3:ALP42="L"))+SUMPRODUCT((ALO3:ALO42=AHN11)*(ALQ3:ALQ42="L"))</f>
        <v>1</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4</v>
      </c>
      <c r="AHV11" s="319">
        <f t="shared" si="870"/>
        <v>36</v>
      </c>
      <c r="AHW11" s="319">
        <f t="shared" ref="AHW11" ca="1" si="2875">IF(COUNTIF(AHU11:AHU15,4)&lt;&gt;4,RANK(AHU11,AHU11:AHU15),AHU51)</f>
        <v>3</v>
      </c>
      <c r="AHX11" s="319"/>
      <c r="AHY11" s="319">
        <f t="shared" ref="AHY11" ca="1" si="2876">SUMPRODUCT((AHW11:AHW14=AHW11)*(AHV11:AHV14&lt;AHV11))+AHW11</f>
        <v>3</v>
      </c>
      <c r="AHZ11" s="319" t="str">
        <f t="shared" ref="AHZ11" ca="1" si="2877">INDEX(AHN11:AHN15,MATCH(1,AHY11:AHY15,0),0)</f>
        <v>Spain</v>
      </c>
      <c r="AIA11" s="319">
        <f t="shared" ref="AIA11" ca="1" si="2878">INDEX(AHW11:AHW15,MATCH(AHZ11,AHN11:AHN15,0),0)</f>
        <v>1</v>
      </c>
      <c r="AIB11" s="319" t="str">
        <f t="shared" ref="AIB11" ca="1" si="2879">IF(AIA12=1,AHZ11,"")</f>
        <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t="str">
        <f t="shared" ref="AIN11:AIN14" ca="1" si="2890">IF(AIG11&lt;&gt;"",AIH11*3+AII11*1,"")</f>
        <v/>
      </c>
      <c r="AIO11" s="319" t="str">
        <f t="shared" ref="AIO11" ca="1" si="2891">IF(AIG11&lt;&gt;"",VLOOKUP(AIG11,AHN4:AHT40,7,FALSE),"")</f>
        <v/>
      </c>
      <c r="AIP11" s="319" t="str">
        <f t="shared" ref="AIP11" ca="1" si="2892">IF(AIG11&lt;&gt;"",VLOOKUP(AIG11,AHN4:AHT40,5,FALSE),"")</f>
        <v/>
      </c>
      <c r="AIQ11" s="319" t="str">
        <f t="shared" ref="AIQ11" ca="1" si="2893">IF(AIG11&lt;&gt;"",VLOOKUP(AIG11,AHN4:AHV40,9,FALSE),"")</f>
        <v/>
      </c>
      <c r="AIR11" s="319" t="str">
        <f t="shared" ref="AIR11:AIR14" ca="1" si="2894">AIN11</f>
        <v/>
      </c>
      <c r="AIS11" s="319" t="str">
        <f t="shared" ref="AIS11" ca="1" si="2895">IF(AIG11&lt;&gt;"",RANK(AIR11,AIR11:AIR15),"")</f>
        <v/>
      </c>
      <c r="AIT11" s="319" t="str">
        <f t="shared" ref="AIT11" ca="1" si="2896">IF(AIG11&lt;&gt;"",SUMPRODUCT((AIR11:AIR15=AIR11)*(AIM11:AIM15&gt;AIM11)),"")</f>
        <v/>
      </c>
      <c r="AIU11" s="319" t="str">
        <f t="shared" ref="AIU11" ca="1" si="2897">IF(AIG11&lt;&gt;"",SUMPRODUCT((AIR11:AIR15=AIR11)*(AIM11:AIM15=AIM11)*(AIK11:AIK15&gt;AIK11)),"")</f>
        <v/>
      </c>
      <c r="AIV11" s="319" t="str">
        <f t="shared" ref="AIV11" ca="1" si="2898">IF(AIG11&lt;&gt;"",SUMPRODUCT((AIR11:AIR15=AIR11)*(AIM11:AIM15=AIM11)*(AIK11:AIK15=AIK11)*(AIO11:AIO15&gt;AIO11)),"")</f>
        <v/>
      </c>
      <c r="AIW11" s="319" t="str">
        <f t="shared" ref="AIW11" ca="1" si="2899">IF(AIG11&lt;&gt;"",SUMPRODUCT((AIR11:AIR15=AIR11)*(AIM11:AIM15=AIM11)*(AIK11:AIK15=AIK11)*(AIO11:AIO15=AIO11)*(AIP11:AIP15&gt;AIP11)),"")</f>
        <v/>
      </c>
      <c r="AIX11" s="319" t="str">
        <f t="shared" ref="AIX11" ca="1" si="2900">IF(AIG11&lt;&gt;"",SUMPRODUCT((AIR11:AIR15=AIR11)*(AIM11:AIM15=AIM11)*(AIK11:AIK15=AIK11)*(AIO11:AIO15=AIO11)*(AIP11:AIP15=AIP11)*(AIQ11:AIQ15&gt;AIQ11)),"")</f>
        <v/>
      </c>
      <c r="AIY11" s="319" t="str">
        <f ca="1">IF(AIG11&lt;&gt;"",IF(AIY51&lt;&gt;"",IF(AIF50=3,AIY51,AIY51+AIF50),SUM(AIS11:AIX11)),"")</f>
        <v/>
      </c>
      <c r="AIZ11" s="319" t="str">
        <f t="shared" ref="AIZ11" ca="1" si="2901">IF(AIG11&lt;&gt;"",INDEX(AIG11:AIG15,MATCH(1,AIY11:AIY15,0),0),"")</f>
        <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2</v>
      </c>
      <c r="ALN11" s="322">
        <f ca="1">IF(OFFSET('Player Game Board'!Q18,0,ALM1)&lt;&gt;"",OFFSET('Player Game Board'!Q18,0,ALM1),0)</f>
        <v>1</v>
      </c>
      <c r="ALO11" s="319" t="str">
        <f t="shared" si="83"/>
        <v>Slovakia</v>
      </c>
      <c r="ALP11" s="319" t="str">
        <f ca="1">IF(AND(OFFSET('Player Game Board'!P18,0,ALM1)&lt;&gt;"",OFFSET('Player Game Board'!Q18,0,ALM1)&lt;&gt;""),IF(ALM11&gt;ALN11,"W",IF(ALM11=ALN11,"D","L")),"")</f>
        <v>W</v>
      </c>
      <c r="ALQ11" s="319" t="str">
        <f t="shared" ca="1" si="84"/>
        <v>L</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2"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352</v>
      </c>
      <c r="DI12" s="323"/>
      <c r="DJ12" s="323"/>
      <c r="DK12" s="323"/>
      <c r="DL12" s="324" t="s">
        <v>353</v>
      </c>
      <c r="DM12" s="324" t="s">
        <v>354</v>
      </c>
      <c r="DN12" s="324" t="s">
        <v>355</v>
      </c>
      <c r="DO12" s="324" t="s">
        <v>356</v>
      </c>
      <c r="DP12" s="325"/>
      <c r="DQ12" s="324" t="str">
        <f>Matches!AC39</f>
        <v>D</v>
      </c>
      <c r="DR12" s="326" t="str">
        <f>Matches!AC40</f>
        <v>E</v>
      </c>
      <c r="DS12" s="326" t="str">
        <f>Matches!AC41</f>
        <v>C</v>
      </c>
      <c r="DT12" s="326" t="str">
        <f>Matches!AC42</f>
        <v>B</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9</v>
      </c>
      <c r="EF12" s="319">
        <f t="shared" ca="1" si="2710"/>
        <v>991</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Spain</v>
      </c>
      <c r="EM12" s="319">
        <f ca="1">INDEX(EI11:EI15,MATCH(EL12,DZ11:DZ15,0),0)</f>
        <v>1</v>
      </c>
      <c r="EN12" s="319" t="str">
        <f ca="1">IF(EN11&lt;&gt;"",EL12,"")</f>
        <v>Spain</v>
      </c>
      <c r="EO12" s="319" t="str">
        <f ca="1">IF(EO11&lt;&gt;"",EL13,"")</f>
        <v/>
      </c>
      <c r="EP12" s="319" t="str">
        <f ca="1">IF(EP11&lt;&gt;"",EL14,"")</f>
        <v/>
      </c>
      <c r="EQ12" s="319" t="str">
        <f>IF(EQ11&lt;&gt;"",EL15,"")</f>
        <v/>
      </c>
      <c r="ER12" s="319"/>
      <c r="ES12" s="319" t="str">
        <f t="shared" ref="ES12:ES14" ca="1" si="3055">IF(EN12&lt;&gt;"",EN12,"")</f>
        <v>Spain</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19">
        <f ca="1">EW12-EX12+1000</f>
        <v>1000</v>
      </c>
      <c r="EZ12" s="319">
        <f t="shared" ca="1" si="2712"/>
        <v>1</v>
      </c>
      <c r="FA12" s="319">
        <f ca="1">IF(ES12&lt;&gt;"",VLOOKUP(ES12,DZ4:EF40,7,FALSE),"")</f>
        <v>1007</v>
      </c>
      <c r="FB12" s="319">
        <f ca="1">IF(ES12&lt;&gt;"",VLOOKUP(ES12,DZ4:EF40,5,FALSE),"")</f>
        <v>9</v>
      </c>
      <c r="FC12" s="319">
        <f ca="1">IF(ES12&lt;&gt;"",VLOOKUP(ES12,DZ4:EH40,9,FALSE),"")</f>
        <v>51</v>
      </c>
      <c r="FD12" s="319">
        <f t="shared" ca="1" si="2713"/>
        <v>1</v>
      </c>
      <c r="FE12" s="319">
        <f ca="1">IF(ES12&lt;&gt;"",RANK(FD12,FD11:FD15),"")</f>
        <v>1</v>
      </c>
      <c r="FF12" s="319">
        <f ca="1">IF(ES12&lt;&gt;"",SUMPRODUCT((FD11:FD15=FD12)*(EY11:EY15&gt;EY12)),"")</f>
        <v>0</v>
      </c>
      <c r="FG12" s="319">
        <f ca="1">IF(ES12&lt;&gt;"",SUMPRODUCT((FD11:FD15=FD12)*(EY11:EY15=EY12)*(EW11:EW15&gt;EW12)),"")</f>
        <v>0</v>
      </c>
      <c r="FH12" s="319">
        <f ca="1">IF(ES12&lt;&gt;"",SUMPRODUCT((FD11:FD15=FD12)*(EY11:EY15=EY12)*(EW11:EW15=EW12)*(FA11:FA15&gt;FA12)),"")</f>
        <v>0</v>
      </c>
      <c r="FI12" s="319">
        <f ca="1">IF(ES12&lt;&gt;"",SUMPRODUCT((FD11:FD15=FD12)*(EY11:EY15=EY12)*(EW11:EW15=EW12)*(FA11:FA15=FA12)*(FB11:FB15&gt;FB12)),"")</f>
        <v>0</v>
      </c>
      <c r="FJ12" s="319">
        <f ca="1">IF(ES12&lt;&gt;"",SUMPRODUCT((FD11:FD15=FD12)*(EY11:EY15=EY12)*(EW11:EW15=EW12)*(FA11:FA15=FA12)*(FB11:FB15=FB12)*(FC11:FC15&gt;FC12)),"")</f>
        <v>0</v>
      </c>
      <c r="FK12" s="319">
        <f ca="1">IF(ES12&lt;&gt;"",IF(FK52&lt;&gt;"",IF(ER50=3,FK52,FK52+ER50),SUM(FE12:FJ12)),"")</f>
        <v>1</v>
      </c>
      <c r="FL12" s="319" t="str">
        <f ca="1">IF(ES12&lt;&gt;"",INDEX(ES11:ES15,MATCH(2,FK11:FK15,0),0),"")</f>
        <v>Italy</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352</v>
      </c>
      <c r="IG12" s="323"/>
      <c r="IH12" s="323"/>
      <c r="II12" s="323"/>
      <c r="IJ12" s="324" t="s">
        <v>353</v>
      </c>
      <c r="IK12" s="324" t="s">
        <v>354</v>
      </c>
      <c r="IL12" s="324" t="s">
        <v>355</v>
      </c>
      <c r="IM12" s="324" t="s">
        <v>356</v>
      </c>
      <c r="IN12" s="325"/>
      <c r="IO12" s="324" t="str">
        <f ca="1">INDEX(IT3:IT8,MATCH(1,IS3:IS8,0),0)</f>
        <v>A</v>
      </c>
      <c r="IP12" s="326" t="str">
        <f ca="1">INDEX(IT3:IT8,MATCH(2,IS3:IS8,0),0)</f>
        <v>D</v>
      </c>
      <c r="IQ12" s="326" t="str">
        <f ca="1">INDEX(IT3:IT8,MATCH(3,IS3:IS8,0),0)</f>
        <v>F</v>
      </c>
      <c r="IR12" s="326" t="str">
        <f ca="1">INDEX(IT3:IT8,MATCH(4,IS3:IS8,0),0)</f>
        <v>B</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0</v>
      </c>
      <c r="JC12" s="319">
        <f ca="1">SUMIF(MY3:MY60,IX12,MW3:MW60)+SUMIF(MV3:MV60,IX12,MX3:MX60)</f>
        <v>7</v>
      </c>
      <c r="JD12" s="319">
        <f t="shared" ca="1" si="2714"/>
        <v>993</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Italy</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Italy</v>
      </c>
      <c r="MT12" s="319">
        <v>2</v>
      </c>
      <c r="MU12" s="319">
        <v>10</v>
      </c>
      <c r="MV12" s="319" t="str">
        <f t="shared" si="170"/>
        <v>Romania</v>
      </c>
      <c r="MW12" s="322">
        <f ca="1">IF(OFFSET('Player Game Board'!P19,0,MW1)&lt;&gt;"",OFFSET('Player Game Board'!P19,0,MW1),0)</f>
        <v>2</v>
      </c>
      <c r="MX12" s="322">
        <f ca="1">IF(OFFSET('Player Game Board'!Q19,0,MW1)&lt;&gt;"",OFFSET('Player Game Board'!Q19,0,MW1),0)</f>
        <v>2</v>
      </c>
      <c r="MY12" s="319" t="str">
        <f t="shared" si="171"/>
        <v>Ukraine</v>
      </c>
      <c r="MZ12" s="319" t="str">
        <f ca="1">IF(AND(OFFSET('Player Game Board'!P19,0,MW1)&lt;&gt;"",OFFSET('Player Game Board'!Q19,0,MW1)&lt;&gt;""),IF(MW12&gt;MX12,"W",IF(MW12=MX12,"D","L")),"")</f>
        <v>D</v>
      </c>
      <c r="NA12" s="319" t="str">
        <f t="shared" ca="1" si="172"/>
        <v>D</v>
      </c>
      <c r="NB12" s="319"/>
      <c r="NC12" s="319"/>
      <c r="ND12" s="323" t="s">
        <v>352</v>
      </c>
      <c r="NE12" s="323"/>
      <c r="NF12" s="323"/>
      <c r="NG12" s="323"/>
      <c r="NH12" s="324" t="s">
        <v>353</v>
      </c>
      <c r="NI12" s="324" t="s">
        <v>354</v>
      </c>
      <c r="NJ12" s="324" t="s">
        <v>355</v>
      </c>
      <c r="NK12" s="324" t="s">
        <v>356</v>
      </c>
      <c r="NL12" s="325"/>
      <c r="NM12" s="324" t="str">
        <f ca="1">INDEX(NR3:NR8,MATCH(1,NQ3:NQ8,0),0)</f>
        <v>B</v>
      </c>
      <c r="NN12" s="326" t="str">
        <f ca="1">INDEX(NR3:NR8,MATCH(2,NQ3:NQ8,0),0)</f>
        <v>A</v>
      </c>
      <c r="NO12" s="326" t="str">
        <f ca="1">INDEX(NR3:NR8,MATCH(3,NQ3:NQ8,0),0)</f>
        <v>F</v>
      </c>
      <c r="NP12" s="326" t="str">
        <f ca="1">INDEX(NR3:NR8,MATCH(4,NQ3:NQ8,0),0)</f>
        <v>E</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0</v>
      </c>
      <c r="OA12" s="319">
        <f t="shared" ref="OA12" ca="1" si="3067">SUMIF(RW3:RW60,NV12,RU3:RU60)+SUMIF(RT3:RT60,NV12,RV3:RV60)</f>
        <v>6</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Spain</v>
      </c>
      <c r="OI12" s="319">
        <f t="shared" ref="OI12" ca="1" si="3071">INDEX(OE11:OE15,MATCH(OH12,NV11:NV15,0),0)</f>
        <v>1</v>
      </c>
      <c r="OJ12" s="319" t="str">
        <f t="shared" ref="OJ12" ca="1" si="3072">IF(OJ11&lt;&gt;"",OH12,"")</f>
        <v>Spain</v>
      </c>
      <c r="OK12" s="319" t="str">
        <f t="shared" ref="OK12" ca="1" si="3073">IF(OK11&lt;&gt;"",OH13,"")</f>
        <v/>
      </c>
      <c r="OL12" s="319" t="str">
        <f t="shared" ref="OL12" ca="1" si="3074">IF(OL11&lt;&gt;"",OH14,"")</f>
        <v/>
      </c>
      <c r="OM12" s="319" t="str">
        <f t="shared" ref="OM12" si="3075">IF(OM11&lt;&gt;"",OH15,"")</f>
        <v/>
      </c>
      <c r="ON12" s="319"/>
      <c r="OO12" s="319" t="str">
        <f t="shared" ca="1" si="2735"/>
        <v>Spain</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19">
        <f t="shared" ca="1" si="2741"/>
        <v>1000</v>
      </c>
      <c r="OV12" s="319">
        <f t="shared" ca="1" si="2742"/>
        <v>1</v>
      </c>
      <c r="OW12" s="319">
        <f t="shared" ref="OW12" ca="1" si="3081">IF(OO12&lt;&gt;"",VLOOKUP(OO12,NV4:OB40,7,FALSE),"")</f>
        <v>1003</v>
      </c>
      <c r="OX12" s="319">
        <f t="shared" ref="OX12" ca="1" si="3082">IF(OO12&lt;&gt;"",VLOOKUP(OO12,NV4:OB40,5,FALSE),"")</f>
        <v>5</v>
      </c>
      <c r="OY12" s="319">
        <f t="shared" ref="OY12" ca="1" si="3083">IF(OO12&lt;&gt;"",VLOOKUP(OO12,NV4:OD40,9,FALSE),"")</f>
        <v>51</v>
      </c>
      <c r="OZ12" s="319">
        <f t="shared" ca="1" si="2746"/>
        <v>1</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0</v>
      </c>
      <c r="PG12" s="319">
        <f ca="1">IF(OO12&lt;&gt;"",IF(PG52&lt;&gt;"",IF(ON50=3,PG52,PG52+ON50),SUM(PA12:PF12)),"")</f>
        <v>1</v>
      </c>
      <c r="PH12" s="319" t="str">
        <f t="shared" ref="PH12" ca="1" si="3090">IF(OO12&lt;&gt;"",INDEX(OO11:OO15,MATCH(2,PG11:PG15,0),0),"")</f>
        <v>Italy</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1</v>
      </c>
      <c r="RV12" s="322">
        <f ca="1">IF(OFFSET('Player Game Board'!Q19,0,RU1)&lt;&gt;"",OFFSET('Player Game Board'!Q19,0,RU1),0)</f>
        <v>1</v>
      </c>
      <c r="RW12" s="319" t="str">
        <f t="shared" si="19"/>
        <v>Ukraine</v>
      </c>
      <c r="RX12" s="319" t="str">
        <f ca="1">IF(AND(OFFSET('Player Game Board'!P19,0,RU1)&lt;&gt;"",OFFSET('Player Game Board'!Q19,0,RU1)&lt;&gt;""),IF(RU12&gt;RV12,"W",IF(RU12=RV12,"D","L")),"")</f>
        <v>D</v>
      </c>
      <c r="RY12" s="319" t="str">
        <f t="shared" ca="1" si="20"/>
        <v>D</v>
      </c>
      <c r="RZ12" s="319"/>
      <c r="SA12" s="319"/>
      <c r="SB12" s="323" t="s">
        <v>352</v>
      </c>
      <c r="SC12" s="323"/>
      <c r="SD12" s="323"/>
      <c r="SE12" s="323"/>
      <c r="SF12" s="324" t="s">
        <v>353</v>
      </c>
      <c r="SG12" s="324" t="s">
        <v>354</v>
      </c>
      <c r="SH12" s="324" t="s">
        <v>355</v>
      </c>
      <c r="SI12" s="324" t="s">
        <v>356</v>
      </c>
      <c r="SJ12" s="325"/>
      <c r="SK12" s="324" t="str">
        <f t="shared" ref="SK12" ca="1" si="3111">INDEX(SP3:SP8,MATCH(1,SO3:SO8,0),0)</f>
        <v>C</v>
      </c>
      <c r="SL12" s="326" t="str">
        <f t="shared" ref="SL12" ca="1" si="3112">INDEX(SP3:SP8,MATCH(2,SO3:SO8,0),0)</f>
        <v>B</v>
      </c>
      <c r="SM12" s="326" t="str">
        <f t="shared" ref="SM12" ca="1" si="3113">INDEX(SP3:SP8,MATCH(3,SO3:SO8,0),0)</f>
        <v>F</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0</v>
      </c>
      <c r="SY12" s="319">
        <f t="shared" ref="SY12" ca="1" si="3120">SUMIF(WU3:WU60,ST12,WS3:WS60)+SUMIF(WR3:WR60,ST12,WT3:WT60)</f>
        <v>11</v>
      </c>
      <c r="SZ12" s="319">
        <f t="shared" ca="1" si="2762"/>
        <v>989</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Spain</v>
      </c>
      <c r="TG12" s="319">
        <f t="shared" ref="TG12" ca="1" si="3124">INDEX(TC11:TC15,MATCH(TF12,ST11:ST15,0),0)</f>
        <v>1</v>
      </c>
      <c r="TH12" s="319" t="str">
        <f t="shared" ref="TH12" ca="1" si="3125">IF(TH11&lt;&gt;"",TF12,"")</f>
        <v>Spain</v>
      </c>
      <c r="TI12" s="319" t="str">
        <f t="shared" ref="TI12" ca="1" si="3126">IF(TI11&lt;&gt;"",TF13,"")</f>
        <v/>
      </c>
      <c r="TJ12" s="319" t="str">
        <f t="shared" ref="TJ12" ca="1" si="3127">IF(TJ11&lt;&gt;"",TF14,"")</f>
        <v/>
      </c>
      <c r="TK12" s="319" t="str">
        <f t="shared" ref="TK12" si="3128">IF(TK11&lt;&gt;"",TF15,"")</f>
        <v/>
      </c>
      <c r="TL12" s="319"/>
      <c r="TM12" s="319" t="str">
        <f t="shared" ca="1" si="2772"/>
        <v>Spain</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19">
        <f t="shared" ca="1" si="2778"/>
        <v>1000</v>
      </c>
      <c r="TT12" s="319">
        <f t="shared" ca="1" si="2779"/>
        <v>1</v>
      </c>
      <c r="TU12" s="319">
        <f t="shared" ref="TU12" ca="1" si="3134">IF(TM12&lt;&gt;"",VLOOKUP(TM12,ST4:SZ40,7,FALSE),"")</f>
        <v>1006</v>
      </c>
      <c r="TV12" s="319">
        <f t="shared" ref="TV12" ca="1" si="3135">IF(TM12&lt;&gt;"",VLOOKUP(TM12,ST4:SZ40,5,FALSE),"")</f>
        <v>8</v>
      </c>
      <c r="TW12" s="319">
        <f t="shared" ref="TW12" ca="1" si="3136">IF(TM12&lt;&gt;"",VLOOKUP(TM12,ST4:TB40,9,FALSE),"")</f>
        <v>51</v>
      </c>
      <c r="TX12" s="319">
        <f t="shared" ca="1" si="2783"/>
        <v>1</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0</v>
      </c>
      <c r="UE12" s="319">
        <f ca="1">IF(TM12&lt;&gt;"",IF(UE52&lt;&gt;"",IF(TL50=3,UE52,UE52+TL50),SUM(TY12:UD12)),"")</f>
        <v>1</v>
      </c>
      <c r="UF12" s="319" t="str">
        <f t="shared" ref="UF12" ca="1" si="3143">IF(TM12&lt;&gt;"",INDEX(TM11:TM15,MATCH(2,UE11:UE15,0),0),"")</f>
        <v>Italy</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Italy</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D</v>
      </c>
      <c r="WW12" s="319" t="str">
        <f t="shared" ca="1" si="36"/>
        <v>D</v>
      </c>
      <c r="WX12" s="319"/>
      <c r="WY12" s="319"/>
      <c r="WZ12" s="323" t="s">
        <v>352</v>
      </c>
      <c r="XA12" s="323"/>
      <c r="XB12" s="323"/>
      <c r="XC12" s="323"/>
      <c r="XD12" s="324" t="s">
        <v>353</v>
      </c>
      <c r="XE12" s="324" t="s">
        <v>354</v>
      </c>
      <c r="XF12" s="324" t="s">
        <v>355</v>
      </c>
      <c r="XG12" s="324" t="s">
        <v>356</v>
      </c>
      <c r="XH12" s="325"/>
      <c r="XI12" s="324" t="str">
        <f t="shared" ref="XI12" ca="1" si="3164">INDEX(XN3:XN8,MATCH(1,XM3:XM8,0),0)</f>
        <v>F</v>
      </c>
      <c r="XJ12" s="326" t="str">
        <f t="shared" ref="XJ12" ca="1" si="3165">INDEX(XN3:XN8,MATCH(2,XM3:XM8,0),0)</f>
        <v>E</v>
      </c>
      <c r="XK12" s="326" t="str">
        <f t="shared" ref="XK12" ca="1" si="3166">INDEX(XN3:XN8,MATCH(3,XM3:XM8,0),0)</f>
        <v>B</v>
      </c>
      <c r="XL12" s="326" t="str">
        <f t="shared" ref="XL12" ca="1" si="3167">INDEX(XN3:XN8,MATCH(4,XM3:XM8,0),0)</f>
        <v>A</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0</v>
      </c>
      <c r="XW12" s="319">
        <f t="shared" ref="XW12" ca="1" si="3173">SUMIF(ABS3:ABS60,XR12,ABQ3:ABQ60)+SUMIF(ABP3:ABP60,XR12,ABR3:ABR60)</f>
        <v>7</v>
      </c>
      <c r="XX12" s="319">
        <f t="shared" ca="1" si="2799"/>
        <v>993</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Croatia</v>
      </c>
      <c r="YE12" s="319">
        <f t="shared" ref="YE12" ca="1" si="3177">INDEX(YA11:YA15,MATCH(YD12,XR11:XR15,0),0)</f>
        <v>2</v>
      </c>
      <c r="YF12" s="319" t="str">
        <f t="shared" ref="YF12" ca="1" si="3178">IF(YF11&lt;&gt;"",YD12,"")</f>
        <v/>
      </c>
      <c r="YG12" s="319" t="str">
        <f t="shared" ref="YG12" ca="1" si="3179">IF(YG11&lt;&gt;"",YD13,"")</f>
        <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19">
        <f t="shared" ref="ZK12:ZK14" ca="1" si="3203">ZI12-ZJ12+1000</f>
        <v>1000</v>
      </c>
      <c r="ZL12" s="319" t="str">
        <f t="shared" ref="ZL12:ZL14" ca="1" si="3204">IF(ZE12&lt;&gt;"",ZF12*3+ZG12*1,"")</f>
        <v/>
      </c>
      <c r="ZM12" s="319" t="str">
        <f t="shared" ref="ZM12" ca="1" si="3205">IF(ZE12&lt;&gt;"",VLOOKUP(ZE12,XR4:XX40,7,FALSE),"")</f>
        <v/>
      </c>
      <c r="ZN12" s="319" t="str">
        <f t="shared" ref="ZN12" ca="1" si="3206">IF(ZE12&lt;&gt;"",VLOOKUP(ZE12,XR4:XX40,5,FALSE),"")</f>
        <v/>
      </c>
      <c r="ZO12" s="319" t="str">
        <f t="shared" ref="ZO12" ca="1" si="3207">IF(ZE12&lt;&gt;"",VLOOKUP(ZE12,XR4:XZ40,9,FALSE),"")</f>
        <v/>
      </c>
      <c r="ZP12" s="319" t="str">
        <f t="shared" ref="ZP12:ZP14" ca="1" si="3208">ZL12</f>
        <v/>
      </c>
      <c r="ZQ12" s="319" t="str">
        <f t="shared" ref="ZQ12" ca="1" si="3209">IF(ZE12&lt;&gt;"",RANK(ZP12,ZP11:ZP15),"")</f>
        <v/>
      </c>
      <c r="ZR12" s="319" t="str">
        <f t="shared" ref="ZR12" ca="1" si="3210">IF(ZE12&lt;&gt;"",SUMPRODUCT((ZP11:ZP15=ZP12)*(ZK11:ZK15&gt;ZK12)),"")</f>
        <v/>
      </c>
      <c r="ZS12" s="319" t="str">
        <f t="shared" ref="ZS12" ca="1" si="3211">IF(ZE12&lt;&gt;"",SUMPRODUCT((ZP11:ZP15=ZP12)*(ZK11:ZK15=ZK12)*(ZI11:ZI15&gt;ZI12)),"")</f>
        <v/>
      </c>
      <c r="ZT12" s="319" t="str">
        <f t="shared" ref="ZT12" ca="1" si="3212">IF(ZE12&lt;&gt;"",SUMPRODUCT((ZP11:ZP15=ZP12)*(ZK11:ZK15=ZK12)*(ZI11:ZI15=ZI12)*(ZM11:ZM15&gt;ZM12)),"")</f>
        <v/>
      </c>
      <c r="ZU12" s="319" t="str">
        <f t="shared" ref="ZU12" ca="1" si="3213">IF(ZE12&lt;&gt;"",SUMPRODUCT((ZP11:ZP15=ZP12)*(ZK11:ZK15=ZK12)*(ZI11:ZI15=ZI12)*(ZM11:ZM15=ZM12)*(ZN11:ZN15&gt;ZN12)),"")</f>
        <v/>
      </c>
      <c r="ZV12" s="319" t="str">
        <f t="shared" ref="ZV12" ca="1" si="3214">IF(ZE12&lt;&gt;"",SUMPRODUCT((ZP11:ZP15=ZP12)*(ZK11:ZK15=ZK12)*(ZI11:ZI15=ZI12)*(ZM11:ZM15=ZM12)*(ZN11:ZN15=ZN12)*(ZO11:ZO15&gt;ZO12)),"")</f>
        <v/>
      </c>
      <c r="ZW12" s="319" t="str">
        <f ca="1">IF(ZE12&lt;&gt;"",IF(ZW52&lt;&gt;"",IF(ZD50=3,ZW52,ZW52+ZD50),SUM(ZQ12:ZV12)+1),"")</f>
        <v/>
      </c>
      <c r="ZX12" s="319" t="str">
        <f t="shared" ref="ZX12" ca="1" si="3215">IF(ZE12&lt;&gt;"",INDEX(ZE12:ZE15,MATCH(2,ZW12:ZW15,0),0),"")</f>
        <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Croatia</v>
      </c>
      <c r="ABN12" s="319">
        <v>2</v>
      </c>
      <c r="ABO12" s="319">
        <v>10</v>
      </c>
      <c r="ABP12" s="319" t="str">
        <f t="shared" si="50"/>
        <v>Romania</v>
      </c>
      <c r="ABQ12" s="322">
        <f ca="1">IF(OFFSET('Player Game Board'!P19,0,ABQ1)&lt;&gt;"",OFFSET('Player Game Board'!P19,0,ABQ1),0)</f>
        <v>1</v>
      </c>
      <c r="ABR12" s="322">
        <f ca="1">IF(OFFSET('Player Game Board'!Q19,0,ABQ1)&lt;&gt;"",OFFSET('Player Game Board'!Q19,0,ABQ1),0)</f>
        <v>1</v>
      </c>
      <c r="ABS12" s="319" t="str">
        <f t="shared" si="51"/>
        <v>Ukraine</v>
      </c>
      <c r="ABT12" s="319" t="str">
        <f ca="1">IF(AND(OFFSET('Player Game Board'!P19,0,ABQ1)&lt;&gt;"",OFFSET('Player Game Board'!Q19,0,ABQ1)&lt;&gt;""),IF(ABQ12&gt;ABR12,"W",IF(ABQ12=ABR12,"D","L")),"")</f>
        <v>D</v>
      </c>
      <c r="ABU12" s="319" t="str">
        <f t="shared" ca="1" si="52"/>
        <v>D</v>
      </c>
      <c r="ABV12" s="319"/>
      <c r="ABW12" s="319"/>
      <c r="ABX12" s="323" t="s">
        <v>352</v>
      </c>
      <c r="ABY12" s="323"/>
      <c r="ABZ12" s="323"/>
      <c r="ACA12" s="323"/>
      <c r="ACB12" s="324" t="s">
        <v>353</v>
      </c>
      <c r="ACC12" s="324" t="s">
        <v>354</v>
      </c>
      <c r="ACD12" s="324" t="s">
        <v>355</v>
      </c>
      <c r="ACE12" s="324" t="s">
        <v>356</v>
      </c>
      <c r="ACF12" s="325"/>
      <c r="ACG12" s="324" t="str">
        <f t="shared" ref="ACG12" ca="1" si="3217">INDEX(ACL3:ACL8,MATCH(1,ACK3:ACK8,0),0)</f>
        <v>C</v>
      </c>
      <c r="ACH12" s="326" t="str">
        <f t="shared" ref="ACH12" ca="1" si="3218">INDEX(ACL3:ACL8,MATCH(2,ACK3:ACK8,0),0)</f>
        <v>B</v>
      </c>
      <c r="ACI12" s="326" t="str">
        <f t="shared" ref="ACI12" ca="1" si="3219">INDEX(ACL3:ACL8,MATCH(3,ACK3:ACK8,0),0)</f>
        <v>D</v>
      </c>
      <c r="ACJ12" s="326" t="str">
        <f t="shared" ref="ACJ12" ca="1" si="3220">INDEX(ACL3:ACL8,MATCH(4,ACK3:ACK8,0),0)</f>
        <v>A</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8</v>
      </c>
      <c r="ACV12" s="319">
        <f t="shared" ca="1" si="2836"/>
        <v>992</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1</v>
      </c>
      <c r="ADD12" s="319" t="str">
        <f t="shared" ref="ADD12" ca="1" si="3231">IF(ADD11&lt;&gt;"",ADB12,"")</f>
        <v>Spain</v>
      </c>
      <c r="ADE12" s="319" t="str">
        <f t="shared" ref="ADE12" ca="1" si="3232">IF(ADE11&lt;&gt;"",ADB13,"")</f>
        <v/>
      </c>
      <c r="ADF12" s="319" t="str">
        <f t="shared" ref="ADF12" ca="1" si="3233">IF(ADF11&lt;&gt;"",ADB14,"")</f>
        <v/>
      </c>
      <c r="ADG12" s="319" t="str">
        <f t="shared" ref="ADG12" si="3234">IF(ADG11&lt;&gt;"",ADB15,"")</f>
        <v/>
      </c>
      <c r="ADH12" s="319"/>
      <c r="ADI12" s="319" t="str">
        <f t="shared" ca="1" si="2846"/>
        <v>Spain</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19">
        <f t="shared" ca="1" si="2852"/>
        <v>1000</v>
      </c>
      <c r="ADP12" s="319">
        <f t="shared" ca="1" si="2853"/>
        <v>1</v>
      </c>
      <c r="ADQ12" s="319">
        <f t="shared" ref="ADQ12" ca="1" si="3240">IF(ADI12&lt;&gt;"",VLOOKUP(ADI12,ACP4:ACV40,7,FALSE),"")</f>
        <v>1004</v>
      </c>
      <c r="ADR12" s="319">
        <f t="shared" ref="ADR12" ca="1" si="3241">IF(ADI12&lt;&gt;"",VLOOKUP(ADI12,ACP4:ACV40,5,FALSE),"")</f>
        <v>6</v>
      </c>
      <c r="ADS12" s="319">
        <f t="shared" ref="ADS12" ca="1" si="3242">IF(ADI12&lt;&gt;"",VLOOKUP(ADI12,ACP4:ACX40,9,FALSE),"")</f>
        <v>51</v>
      </c>
      <c r="ADT12" s="319">
        <f t="shared" ca="1" si="2857"/>
        <v>1</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0</v>
      </c>
      <c r="AEA12" s="319">
        <f ca="1">IF(ADI12&lt;&gt;"",IF(AEA52&lt;&gt;"",IF(ADH50=3,AEA52,AEA52+ADH50),SUM(ADU12:ADZ12)),"")</f>
        <v>1</v>
      </c>
      <c r="AEB12" s="319" t="str">
        <f t="shared" ref="AEB12" ca="1" si="3249">IF(ADI12&lt;&gt;"",INDEX(ADI11:ADI15,MATCH(2,AEA11:AEA15,0),0),"")</f>
        <v>Italy</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Italy</v>
      </c>
      <c r="AGL12" s="319">
        <v>2</v>
      </c>
      <c r="AGM12" s="319">
        <v>10</v>
      </c>
      <c r="AGN12" s="319" t="str">
        <f t="shared" si="66"/>
        <v>Romania</v>
      </c>
      <c r="AGO12" s="322">
        <f ca="1">IF(OFFSET('Player Game Board'!P19,0,AGO1)&lt;&gt;"",OFFSET('Player Game Board'!P19,0,AGO1),0)</f>
        <v>1</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352</v>
      </c>
      <c r="AGW12" s="323"/>
      <c r="AGX12" s="323"/>
      <c r="AGY12" s="323"/>
      <c r="AGZ12" s="324" t="s">
        <v>353</v>
      </c>
      <c r="AHA12" s="324" t="s">
        <v>354</v>
      </c>
      <c r="AHB12" s="324" t="s">
        <v>355</v>
      </c>
      <c r="AHC12" s="324" t="s">
        <v>356</v>
      </c>
      <c r="AHD12" s="325"/>
      <c r="AHE12" s="324" t="str">
        <f t="shared" ref="AHE12" ca="1" si="3270">INDEX(AHJ3:AHJ8,MATCH(1,AHI3:AHI8,0),0)</f>
        <v>F</v>
      </c>
      <c r="AHF12" s="326" t="str">
        <f t="shared" ref="AHF12" ca="1" si="3271">INDEX(AHJ3:AHJ8,MATCH(2,AHI3:AHI8,0),0)</f>
        <v>A</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0</v>
      </c>
      <c r="AHS12" s="319">
        <f t="shared" ref="AHS12" ca="1" si="3279">SUMIF(ALO3:ALO60,AHN12,ALM3:ALM60)+SUMIF(ALL3:ALL60,AHN12,ALN3:ALN60)</f>
        <v>14</v>
      </c>
      <c r="AHT12" s="319">
        <f t="shared" ca="1" si="2873"/>
        <v>986</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Croatia</v>
      </c>
      <c r="AIA12" s="319">
        <f t="shared" ref="AIA12" ca="1" si="3283">INDEX(AHW11:AHW15,MATCH(AHZ12,AHN11:AHN15,0),0)</f>
        <v>2</v>
      </c>
      <c r="AIB12" s="319" t="str">
        <f t="shared" ref="AIB12" ca="1" si="3284">IF(AIB11&lt;&gt;"",AHZ12,"")</f>
        <v/>
      </c>
      <c r="AIC12" s="319" t="str">
        <f t="shared" ref="AIC12" ca="1" si="3285">IF(AIC11&lt;&gt;"",AHZ13,"")</f>
        <v/>
      </c>
      <c r="AID12" s="319" t="str">
        <f t="shared" ref="AID12" ca="1" si="3286">IF(AID11&lt;&gt;"",AHZ14,"")</f>
        <v/>
      </c>
      <c r="AIE12" s="319" t="str">
        <f t="shared" ref="AIE12" si="3287">IF(AIE11&lt;&gt;"",AHZ15,"")</f>
        <v/>
      </c>
      <c r="AIF12" s="319"/>
      <c r="AIG12" s="319" t="str">
        <f t="shared" ca="1" si="2883"/>
        <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t="str">
        <f t="shared" ca="1" si="2890"/>
        <v/>
      </c>
      <c r="AIO12" s="319" t="str">
        <f t="shared" ref="AIO12" ca="1" si="3293">IF(AIG12&lt;&gt;"",VLOOKUP(AIG12,AHN4:AHT40,7,FALSE),"")</f>
        <v/>
      </c>
      <c r="AIP12" s="319" t="str">
        <f t="shared" ref="AIP12" ca="1" si="3294">IF(AIG12&lt;&gt;"",VLOOKUP(AIG12,AHN4:AHT40,5,FALSE),"")</f>
        <v/>
      </c>
      <c r="AIQ12" s="319" t="str">
        <f t="shared" ref="AIQ12" ca="1" si="3295">IF(AIG12&lt;&gt;"",VLOOKUP(AIG12,AHN4:AHV40,9,FALSE),"")</f>
        <v/>
      </c>
      <c r="AIR12" s="319" t="str">
        <f t="shared" ca="1" si="2894"/>
        <v/>
      </c>
      <c r="AIS12" s="319" t="str">
        <f t="shared" ref="AIS12" ca="1" si="3296">IF(AIG12&lt;&gt;"",RANK(AIR12,AIR11:AIR15),"")</f>
        <v/>
      </c>
      <c r="AIT12" s="319" t="str">
        <f t="shared" ref="AIT12" ca="1" si="3297">IF(AIG12&lt;&gt;"",SUMPRODUCT((AIR11:AIR15=AIR12)*(AIM11:AIM15&gt;AIM12)),"")</f>
        <v/>
      </c>
      <c r="AIU12" s="319" t="str">
        <f t="shared" ref="AIU12" ca="1" si="3298">IF(AIG12&lt;&gt;"",SUMPRODUCT((AIR11:AIR15=AIR12)*(AIM11:AIM15=AIM12)*(AIK11:AIK15&gt;AIK12)),"")</f>
        <v/>
      </c>
      <c r="AIV12" s="319" t="str">
        <f t="shared" ref="AIV12" ca="1" si="3299">IF(AIG12&lt;&gt;"",SUMPRODUCT((AIR11:AIR15=AIR12)*(AIM11:AIM15=AIM12)*(AIK11:AIK15=AIK12)*(AIO11:AIO15&gt;AIO12)),"")</f>
        <v/>
      </c>
      <c r="AIW12" s="319" t="str">
        <f t="shared" ref="AIW12" ca="1" si="3300">IF(AIG12&lt;&gt;"",SUMPRODUCT((AIR11:AIR15=AIR12)*(AIM11:AIM15=AIM12)*(AIK11:AIK15=AIK12)*(AIO11:AIO15=AIO12)*(AIP11:AIP15&gt;AIP12)),"")</f>
        <v/>
      </c>
      <c r="AIX12" s="319" t="str">
        <f t="shared" ref="AIX12" ca="1" si="3301">IF(AIG12&lt;&gt;"",SUMPRODUCT((AIR11:AIR15=AIR12)*(AIM11:AIM15=AIM12)*(AIK11:AIK15=AIK12)*(AIO11:AIO15=AIO12)*(AIP11:AIP15=AIP12)*(AIQ11:AIQ15&gt;AIQ12)),"")</f>
        <v/>
      </c>
      <c r="AIY12" s="319" t="str">
        <f ca="1">IF(AIG12&lt;&gt;"",IF(AIY52&lt;&gt;"",IF(AIF50=3,AIY52,AIY52+AIF50),SUM(AIS12:AIX12)),"")</f>
        <v/>
      </c>
      <c r="AIZ12" s="319" t="str">
        <f t="shared" ref="AIZ12" ca="1" si="3302">IF(AIG12&lt;&gt;"",INDEX(AIG11:AIG15,MATCH(2,AIY11:AIY15,0),0),"")</f>
        <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Croatia</v>
      </c>
      <c r="ALJ12" s="319">
        <v>2</v>
      </c>
      <c r="ALK12" s="319">
        <v>10</v>
      </c>
      <c r="ALL12" s="319" t="str">
        <f t="shared" si="82"/>
        <v>Romania</v>
      </c>
      <c r="ALM12" s="322">
        <f ca="1">IF(OFFSET('Player Game Board'!P19,0,ALM1)&lt;&gt;"",OFFSET('Player Game Board'!P19,0,ALM1),0)</f>
        <v>1</v>
      </c>
      <c r="ALN12" s="322">
        <f ca="1">IF(OFFSET('Player Game Board'!Q19,0,ALM1)&lt;&gt;"",OFFSET('Player Game Board'!Q19,0,ALM1),0)</f>
        <v>4</v>
      </c>
      <c r="ALO12" s="319" t="str">
        <f t="shared" si="83"/>
        <v>Ukraine</v>
      </c>
      <c r="ALP12" s="319" t="str">
        <f ca="1">IF(AND(OFFSET('Player Game Board'!P19,0,ALM1)&lt;&gt;"",OFFSET('Player Game Board'!Q19,0,ALM1)&lt;&gt;""),IF(ALM12&gt;ALN12,"W",IF(ALM12=ALN12,"D","L")),"")</f>
        <v>L</v>
      </c>
      <c r="ALQ12" s="319" t="str">
        <f t="shared" ca="1" si="84"/>
        <v>W</v>
      </c>
      <c r="ALR12" s="319"/>
      <c r="ALS12" s="319"/>
      <c r="ALT12" s="323" t="s">
        <v>352</v>
      </c>
      <c r="ALU12" s="323"/>
      <c r="ALV12" s="323"/>
      <c r="ALW12" s="323"/>
      <c r="ALX12" s="324" t="s">
        <v>353</v>
      </c>
      <c r="ALY12" s="324" t="s">
        <v>354</v>
      </c>
      <c r="ALZ12" s="324" t="s">
        <v>355</v>
      </c>
      <c r="AMA12" s="324" t="s">
        <v>356</v>
      </c>
      <c r="AMB12" s="325"/>
      <c r="AMC12" s="324" t="str">
        <f t="shared" ref="AMC12" ca="1" si="3323">INDEX(AMH3:AMH8,MATCH(1,AMG3:AMG8,0),0)</f>
        <v>B</v>
      </c>
      <c r="AMD12" s="326" t="str">
        <f t="shared" ref="AMD12" ca="1" si="3324">INDEX(AMH3:AMH8,MATCH(2,AMG3:AMG8,0),0)</f>
        <v>C</v>
      </c>
      <c r="AME12" s="326" t="str">
        <f t="shared" ref="AME12" ca="1" si="3325">INDEX(AMH3:AMH8,MATCH(3,AMG3:AMG8,0),0)</f>
        <v>F</v>
      </c>
      <c r="AMF12" s="326" t="str">
        <f t="shared" ref="AMF12" ca="1" si="3326">INDEX(AMH3:AMH8,MATCH(4,AMG3:AMG8,0),0)</f>
        <v>E</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352</v>
      </c>
      <c r="AQS12" s="323"/>
      <c r="AQT12" s="323"/>
      <c r="AQU12" s="323"/>
      <c r="AQV12" s="324" t="s">
        <v>353</v>
      </c>
      <c r="AQW12" s="324" t="s">
        <v>354</v>
      </c>
      <c r="AQX12" s="324" t="s">
        <v>355</v>
      </c>
      <c r="AQY12" s="324" t="s">
        <v>356</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352</v>
      </c>
      <c r="AVQ12" s="323"/>
      <c r="AVR12" s="323"/>
      <c r="AVS12" s="323"/>
      <c r="AVT12" s="324" t="s">
        <v>353</v>
      </c>
      <c r="AVU12" s="324" t="s">
        <v>354</v>
      </c>
      <c r="AVV12" s="324" t="s">
        <v>355</v>
      </c>
      <c r="AVW12" s="324" t="s">
        <v>356</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352</v>
      </c>
      <c r="BAO12" s="323"/>
      <c r="BAP12" s="323"/>
      <c r="BAQ12" s="323"/>
      <c r="BAR12" s="324" t="s">
        <v>353</v>
      </c>
      <c r="BAS12" s="324" t="s">
        <v>354</v>
      </c>
      <c r="BAT12" s="324" t="s">
        <v>355</v>
      </c>
      <c r="BAU12" s="324" t="s">
        <v>356</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352</v>
      </c>
      <c r="BFM12" s="323"/>
      <c r="BFN12" s="323"/>
      <c r="BFO12" s="323"/>
      <c r="BFP12" s="324" t="s">
        <v>353</v>
      </c>
      <c r="BFQ12" s="324" t="s">
        <v>354</v>
      </c>
      <c r="BFR12" s="324" t="s">
        <v>355</v>
      </c>
      <c r="BFS12" s="324" t="s">
        <v>356</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101</v>
      </c>
      <c r="DI13" s="325" t="s">
        <v>102</v>
      </c>
      <c r="DJ13" s="325" t="s">
        <v>103</v>
      </c>
      <c r="DK13" s="325" t="s">
        <v>104</v>
      </c>
      <c r="DL13" s="324" t="s">
        <v>101</v>
      </c>
      <c r="DM13" s="324" t="s">
        <v>104</v>
      </c>
      <c r="DN13" s="324" t="s">
        <v>102</v>
      </c>
      <c r="DO13" s="324" t="s">
        <v>103</v>
      </c>
      <c r="DP13" s="325"/>
      <c r="DQ13" s="326">
        <f>IFERROR(MATCH(DQ12,DH13:DK13,0),0)</f>
        <v>4</v>
      </c>
      <c r="DR13" s="326">
        <f>IFERROR(MATCH(DR12,DH13:DK13,0),0)</f>
        <v>0</v>
      </c>
      <c r="DS13" s="326">
        <f>IFERROR(MATCH(DS12,DH13:DK13,0),0)</f>
        <v>3</v>
      </c>
      <c r="DT13" s="326">
        <f>IFERROR(MATCH(DT12,DH13:DK13,0),0)</f>
        <v>2</v>
      </c>
      <c r="DU13" s="326">
        <f t="shared" ref="DU13:DU27" si="3541">SUM(DQ13:DT13)</f>
        <v>9</v>
      </c>
      <c r="DV13" s="325"/>
      <c r="DW13" s="325" t="str">
        <f>INDEX(DH3:DH8,MATCH(1,DU3:DU8,0),0)</f>
        <v>Austria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9</v>
      </c>
      <c r="EE13" s="319">
        <f ca="1">SUMIF(IA3:IA60,DZ13,HY3:HY60)+SUMIF(HX3:HX60,DZ13,HZ3:HZ60)</f>
        <v>2</v>
      </c>
      <c r="EF13" s="319">
        <f t="shared" ca="1" si="2710"/>
        <v>1007</v>
      </c>
      <c r="EG13" s="319">
        <f t="shared" ca="1" si="2711"/>
        <v>7</v>
      </c>
      <c r="EH13" s="319">
        <f t="shared" si="609"/>
        <v>51</v>
      </c>
      <c r="EI13" s="319">
        <f ca="1">IF(COUNTIF(EG11:EG15,4)&lt;&gt;4,RANK(EG13,EG11:EG15),EG53)</f>
        <v>1</v>
      </c>
      <c r="EJ13" s="319"/>
      <c r="EK13" s="319">
        <f ca="1">SUMPRODUCT((EI11:EI14=EI13)*(EH11:EH14&lt;EH13))+EI13</f>
        <v>2</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5</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101</v>
      </c>
      <c r="IG13" s="325" t="s">
        <v>102</v>
      </c>
      <c r="IH13" s="325" t="s">
        <v>103</v>
      </c>
      <c r="II13" s="325" t="s">
        <v>104</v>
      </c>
      <c r="IJ13" s="324" t="s">
        <v>101</v>
      </c>
      <c r="IK13" s="324" t="s">
        <v>104</v>
      </c>
      <c r="IL13" s="324" t="s">
        <v>102</v>
      </c>
      <c r="IM13" s="324" t="s">
        <v>103</v>
      </c>
      <c r="IN13" s="325"/>
      <c r="IO13" s="326">
        <f ca="1">IFERROR(MATCH(IO12,IF13:II13,0),0)</f>
        <v>1</v>
      </c>
      <c r="IP13" s="326">
        <f ca="1">IFERROR(MATCH(IP12,IF13:II13,0),0)</f>
        <v>4</v>
      </c>
      <c r="IQ13" s="326">
        <f ca="1">IFERROR(MATCH(IQ12,IF13:II13,0),0)</f>
        <v>0</v>
      </c>
      <c r="IR13" s="326">
        <f ca="1">IFERROR(MATCH(IR12,IF13:II13,0),0)</f>
        <v>2</v>
      </c>
      <c r="IS13" s="326">
        <f t="shared" ref="IS13:IS27" ca="1" si="3544">SUM(IO13:IR13)</f>
        <v>7</v>
      </c>
      <c r="IT13" s="325"/>
      <c r="IU13" s="325" t="str">
        <f ca="1">INDEX(IF3:IF8,MATCH(1,IS3:IS8,0),0)</f>
        <v>Scotland</v>
      </c>
      <c r="IV13" s="325"/>
      <c r="IW13" s="319">
        <f ca="1">VLOOKUP(IX13,MS11:MT15,2,FALSE)</f>
        <v>1</v>
      </c>
      <c r="IX13" s="319" t="str">
        <f t="shared" si="3058"/>
        <v>Spain</v>
      </c>
      <c r="IY13" s="319">
        <f ca="1">SUMPRODUCT((MV3:MV42=IX13)*(MZ3:MZ42="W"))+SUMPRODUCT((MY3:MY42=IX13)*(NA3:NA42="W"))</f>
        <v>2</v>
      </c>
      <c r="IZ13" s="319">
        <f ca="1">SUMPRODUCT((MV3:MV42=IX13)*(MZ3:MZ42="D"))+SUMPRODUCT((MY3:MY42=IX13)*(NA3:NA42="D"))</f>
        <v>1</v>
      </c>
      <c r="JA13" s="319">
        <f ca="1">SUMPRODUCT((MV3:MV42=IX13)*(MZ3:MZ42="L"))+SUMPRODUCT((MY3:MY42=IX13)*(NA3:NA42="L"))</f>
        <v>0</v>
      </c>
      <c r="JB13" s="319">
        <f ca="1">SUMIF(MV3:MV60,IX13,MW3:MW60)+SUMIF(MY3:MY60,IX13,MX3:MX60)</f>
        <v>3</v>
      </c>
      <c r="JC13" s="319">
        <f ca="1">SUMIF(MY3:MY60,IX13,MW3:MW60)+SUMIF(MV3:MV60,IX13,MX3:MX60)</f>
        <v>0</v>
      </c>
      <c r="JD13" s="319">
        <f t="shared" ca="1" si="2714"/>
        <v>1003</v>
      </c>
      <c r="JE13" s="319">
        <f t="shared" ca="1" si="2715"/>
        <v>7</v>
      </c>
      <c r="JF13" s="319">
        <f t="shared" si="618"/>
        <v>51</v>
      </c>
      <c r="JG13" s="319">
        <f ca="1">IF(COUNTIF(JE11:JE15,4)&lt;&gt;4,RANK(JE13,JE11:JE15),JE53)</f>
        <v>1</v>
      </c>
      <c r="JH13" s="319"/>
      <c r="JI13" s="319">
        <f ca="1">SUMPRODUCT((JG11:JG14=JG13)*(JF11:JF14&lt;JF13))+JG13</f>
        <v>1</v>
      </c>
      <c r="JJ13" s="319" t="str">
        <f ca="1">INDEX(IX11:IX15,MATCH(3,JI11:JI15,0),0)</f>
        <v>Croatia</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Croatia</v>
      </c>
      <c r="MT13" s="319">
        <v>3</v>
      </c>
      <c r="MU13" s="319">
        <v>11</v>
      </c>
      <c r="MV13" s="319" t="str">
        <f t="shared" si="170"/>
        <v>Türkiye</v>
      </c>
      <c r="MW13" s="322">
        <f ca="1">IF(OFFSET('Player Game Board'!P20,0,MW1)&lt;&gt;"",OFFSET('Player Game Board'!P20,0,MW1),0)</f>
        <v>2</v>
      </c>
      <c r="MX13" s="322">
        <f ca="1">IF(OFFSET('Player Game Board'!Q20,0,MW1)&lt;&gt;"",OFFSET('Player Game Board'!Q20,0,MW1),0)</f>
        <v>2</v>
      </c>
      <c r="MY13" s="319" t="str">
        <f t="shared" si="171"/>
        <v>Georgia</v>
      </c>
      <c r="MZ13" s="319" t="str">
        <f ca="1">IF(AND(OFFSET('Player Game Board'!P20,0,MW1)&lt;&gt;"",OFFSET('Player Game Board'!Q20,0,MW1)&lt;&gt;""),IF(MW13&gt;MX13,"W",IF(MW13=MX13,"D","L")),"")</f>
        <v>D</v>
      </c>
      <c r="NA13" s="319" t="str">
        <f t="shared" ca="1" si="172"/>
        <v>D</v>
      </c>
      <c r="NB13" s="319"/>
      <c r="NC13" s="319"/>
      <c r="ND13" s="324" t="s">
        <v>101</v>
      </c>
      <c r="NE13" s="325" t="s">
        <v>102</v>
      </c>
      <c r="NF13" s="325" t="s">
        <v>103</v>
      </c>
      <c r="NG13" s="325" t="s">
        <v>104</v>
      </c>
      <c r="NH13" s="324" t="s">
        <v>101</v>
      </c>
      <c r="NI13" s="324" t="s">
        <v>104</v>
      </c>
      <c r="NJ13" s="324" t="s">
        <v>102</v>
      </c>
      <c r="NK13" s="324" t="s">
        <v>103</v>
      </c>
      <c r="NL13" s="325"/>
      <c r="NM13" s="326">
        <f ca="1">IFERROR(MATCH(NM12,ND13:NG13,0),0)</f>
        <v>2</v>
      </c>
      <c r="NN13" s="326">
        <f ca="1">IFERROR(MATCH(NN12,ND13:NG13,0),0)</f>
        <v>1</v>
      </c>
      <c r="NO13" s="326">
        <f ca="1">IFERROR(MATCH(NO12,ND13:NG13,0),0)</f>
        <v>0</v>
      </c>
      <c r="NP13" s="326">
        <f ca="1">IFERROR(MATCH(NP12,ND13:NG13,0),0)</f>
        <v>0</v>
      </c>
      <c r="NQ13" s="326">
        <f t="shared" ref="NQ13:NQ27" ca="1" si="3547">SUM(NM13:NP13)</f>
        <v>3</v>
      </c>
      <c r="NR13" s="325"/>
      <c r="NS13" s="325" t="str">
        <f ca="1">INDEX(ND3:ND8,MATCH(1,NQ3:NQ8,0),0)</f>
        <v>Croatia</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5</v>
      </c>
      <c r="OA13" s="319">
        <f t="shared" ref="OA13" ca="1" si="3553">SUMIF(RW3:RW60,NV13,RU3:RU60)+SUMIF(RT3:RT60,NV13,RV3:RV60)</f>
        <v>2</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2</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2</v>
      </c>
      <c r="RV13" s="322">
        <f ca="1">IF(OFFSET('Player Game Board'!Q20,0,RU1)&lt;&gt;"",OFFSET('Player Game Board'!Q20,0,RU1),0)</f>
        <v>0</v>
      </c>
      <c r="RW13" s="319" t="str">
        <f t="shared" si="19"/>
        <v>Georgia</v>
      </c>
      <c r="RX13" s="319" t="str">
        <f ca="1">IF(AND(OFFSET('Player Game Board'!P20,0,RU1)&lt;&gt;"",OFFSET('Player Game Board'!Q20,0,RU1)&lt;&gt;""),IF(RU13&gt;RV13,"W",IF(RU13=RV13,"D","L")),"")</f>
        <v>W</v>
      </c>
      <c r="RY13" s="319" t="str">
        <f t="shared" ca="1" si="20"/>
        <v>L</v>
      </c>
      <c r="RZ13" s="319"/>
      <c r="SA13" s="319"/>
      <c r="SB13" s="324" t="s">
        <v>101</v>
      </c>
      <c r="SC13" s="325" t="s">
        <v>102</v>
      </c>
      <c r="SD13" s="325" t="s">
        <v>103</v>
      </c>
      <c r="SE13" s="325" t="s">
        <v>104</v>
      </c>
      <c r="SF13" s="324" t="s">
        <v>101</v>
      </c>
      <c r="SG13" s="324" t="s">
        <v>104</v>
      </c>
      <c r="SH13" s="324" t="s">
        <v>102</v>
      </c>
      <c r="SI13" s="324" t="s">
        <v>103</v>
      </c>
      <c r="SJ13" s="325"/>
      <c r="SK13" s="326">
        <f t="shared" ref="SK13" ca="1" si="3612">IFERROR(MATCH(SK12,SB13:SE13,0),0)</f>
        <v>3</v>
      </c>
      <c r="SL13" s="326">
        <f t="shared" ref="SL13" ca="1" si="3613">IFERROR(MATCH(SL12,SB13:SE13,0),0)</f>
        <v>2</v>
      </c>
      <c r="SM13" s="326">
        <f t="shared" ref="SM13" ca="1" si="3614">IFERROR(MATCH(SM12,SB13:SE13,0),0)</f>
        <v>0</v>
      </c>
      <c r="SN13" s="326">
        <f t="shared" ref="SN13" ca="1" si="3615">IFERROR(MATCH(SN12,SB13:SE13,0),0)</f>
        <v>0</v>
      </c>
      <c r="SO13" s="326">
        <f t="shared" ref="SO13:SO27" ca="1" si="3616">SUM(SK13:SN13)</f>
        <v>5</v>
      </c>
      <c r="SP13" s="325"/>
      <c r="SQ13" s="325" t="str">
        <f t="shared" ref="SQ13" ca="1" si="3617">IF(SQ38="A",INDEX(SB3:SB8,MATCH(1,SO3:SO8,0),0),"")</f>
        <v>Denmark</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8</v>
      </c>
      <c r="SY13" s="319">
        <f t="shared" ref="SY13" ca="1" si="3623">SUMIF(WU3:WU60,ST13,WS3:WS60)+SUMIF(WR3:WR60,ST13,WT3:WT60)</f>
        <v>2</v>
      </c>
      <c r="SZ13" s="319">
        <f t="shared" ca="1" si="2762"/>
        <v>1006</v>
      </c>
      <c r="TA13" s="319">
        <f t="shared" ca="1" si="2763"/>
        <v>7</v>
      </c>
      <c r="TB13" s="319">
        <f t="shared" si="690"/>
        <v>51</v>
      </c>
      <c r="TC13" s="319">
        <f t="shared" ref="TC13" ca="1" si="3624">IF(COUNTIF(TA11:TA15,4)&lt;&gt;4,RANK(TA13,TA11:TA15),TA53)</f>
        <v>1</v>
      </c>
      <c r="TD13" s="319"/>
      <c r="TE13" s="319">
        <f t="shared" ref="TE13" ca="1" si="3625">SUMPRODUCT((TC11:TC14=TC13)*(TB11:TB14&lt;TB13))+TC13</f>
        <v>2</v>
      </c>
      <c r="TF13" s="319" t="str">
        <f t="shared" ref="TF13" ca="1" si="3626">INDEX(ST11:ST15,MATCH(3,TE11:TE15,0),0)</f>
        <v>Croatia</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2</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101</v>
      </c>
      <c r="XA13" s="325" t="s">
        <v>102</v>
      </c>
      <c r="XB13" s="325" t="s">
        <v>103</v>
      </c>
      <c r="XC13" s="325" t="s">
        <v>104</v>
      </c>
      <c r="XD13" s="324" t="s">
        <v>101</v>
      </c>
      <c r="XE13" s="324" t="s">
        <v>104</v>
      </c>
      <c r="XF13" s="324" t="s">
        <v>102</v>
      </c>
      <c r="XG13" s="324" t="s">
        <v>103</v>
      </c>
      <c r="XH13" s="325"/>
      <c r="XI13" s="326">
        <f t="shared" ref="XI13" ca="1" si="3682">IFERROR(MATCH(XI12,WZ13:XC13,0),0)</f>
        <v>0</v>
      </c>
      <c r="XJ13" s="326">
        <f t="shared" ref="XJ13" ca="1" si="3683">IFERROR(MATCH(XJ12,WZ13:XC13,0),0)</f>
        <v>0</v>
      </c>
      <c r="XK13" s="326">
        <f t="shared" ref="XK13" ca="1" si="3684">IFERROR(MATCH(XK12,WZ13:XC13,0),0)</f>
        <v>2</v>
      </c>
      <c r="XL13" s="326">
        <f t="shared" ref="XL13" ca="1" si="3685">IFERROR(MATCH(XL12,WZ13:XC13,0),0)</f>
        <v>1</v>
      </c>
      <c r="XM13" s="326">
        <f t="shared" ref="XM13:XM27" ca="1" si="3686">SUM(XI13:XL13)</f>
        <v>3</v>
      </c>
      <c r="XN13" s="325"/>
      <c r="XO13" s="325" t="str">
        <f t="shared" ref="XO13" ca="1" si="3687">IF(XO38="A",INDEX(WZ3:WZ8,MATCH(1,XM3:XM8,0),0),"")</f>
        <v>Czechia</v>
      </c>
      <c r="XP13" s="325"/>
      <c r="XQ13" s="319">
        <f t="shared" ref="XQ13" ca="1" si="3688">VLOOKUP(XR13,ABM11:ABN15,2,FALSE)</f>
        <v>3</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3</v>
      </c>
      <c r="YB13" s="319"/>
      <c r="YC13" s="319">
        <f t="shared" ref="YC13" ca="1" si="3695">SUMPRODUCT((YA11:YA14=YA13)*(XZ11:XZ14&lt;XZ13))+YA13</f>
        <v>3</v>
      </c>
      <c r="YD13" s="319" t="str">
        <f t="shared" ref="YD13" ca="1" si="3696">INDEX(XR11:XR15,MATCH(3,YC11:YC15,0),0)</f>
        <v>Spain</v>
      </c>
      <c r="YE13" s="319">
        <f t="shared" ref="YE13" ca="1" si="3697">INDEX(YA11:YA15,MATCH(YD13,XR11:XR15,0),0)</f>
        <v>3</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19">
        <f t="shared" ca="1" si="3203"/>
        <v>1000</v>
      </c>
      <c r="ZL13" s="319" t="str">
        <f t="shared" ca="1" si="3204"/>
        <v/>
      </c>
      <c r="ZM13" s="319" t="str">
        <f t="shared" ref="ZM13" ca="1" si="3721">IF(ZE13&lt;&gt;"",VLOOKUP(ZE13,XR4:XX40,7,FALSE),"")</f>
        <v/>
      </c>
      <c r="ZN13" s="319" t="str">
        <f t="shared" ref="ZN13" ca="1" si="3722">IF(ZE13&lt;&gt;"",VLOOKUP(ZE13,XR4:XX40,5,FALSE),"")</f>
        <v/>
      </c>
      <c r="ZO13" s="319" t="str">
        <f t="shared" ref="ZO13" ca="1" si="3723">IF(ZE13&lt;&gt;"",VLOOKUP(ZE13,XR4:XZ40,9,FALSE),"")</f>
        <v/>
      </c>
      <c r="ZP13" s="319" t="str">
        <f t="shared" ca="1" si="3208"/>
        <v/>
      </c>
      <c r="ZQ13" s="319" t="str">
        <f t="shared" ref="ZQ13" ca="1" si="3724">IF(ZE13&lt;&gt;"",RANK(ZP13,ZP11:ZP15),"")</f>
        <v/>
      </c>
      <c r="ZR13" s="319" t="str">
        <f t="shared" ref="ZR13" ca="1" si="3725">IF(ZE13&lt;&gt;"",SUMPRODUCT((ZP11:ZP15=ZP13)*(ZK11:ZK15&gt;ZK13)),"")</f>
        <v/>
      </c>
      <c r="ZS13" s="319" t="str">
        <f t="shared" ref="ZS13" ca="1" si="3726">IF(ZE13&lt;&gt;"",SUMPRODUCT((ZP11:ZP15=ZP13)*(ZK11:ZK15=ZK13)*(ZI11:ZI15&gt;ZI13)),"")</f>
        <v/>
      </c>
      <c r="ZT13" s="319" t="str">
        <f t="shared" ref="ZT13" ca="1" si="3727">IF(ZE13&lt;&gt;"",SUMPRODUCT((ZP11:ZP15=ZP13)*(ZK11:ZK15=ZK13)*(ZI11:ZI15=ZI13)*(ZM11:ZM15&gt;ZM13)),"")</f>
        <v/>
      </c>
      <c r="ZU13" s="319" t="str">
        <f t="shared" ref="ZU13" ca="1" si="3728">IF(ZE13&lt;&gt;"",SUMPRODUCT((ZP11:ZP15=ZP13)*(ZK11:ZK15=ZK13)*(ZI11:ZI15=ZI13)*(ZM11:ZM15=ZM13)*(ZN11:ZN15&gt;ZN13)),"")</f>
        <v/>
      </c>
      <c r="ZV13" s="319" t="str">
        <f t="shared" ref="ZV13" ca="1" si="3729">IF(ZE13&lt;&gt;"",SUMPRODUCT((ZP11:ZP15=ZP13)*(ZK11:ZK15=ZK13)*(ZI11:ZI15=ZI13)*(ZM11:ZM15=ZM13)*(ZN11:ZN15=ZN13)*(ZO11:ZO15&gt;ZO13)),"")</f>
        <v/>
      </c>
      <c r="ZW13" s="319" t="str">
        <f ca="1">IF(ZE13&lt;&gt;"",IF(ZW53&lt;&gt;"",IF(ZD50=3,ZW53,ZW53+ZD50),SUM(ZQ13:ZV13)+1),"")</f>
        <v/>
      </c>
      <c r="ZX13" s="319" t="str">
        <f t="shared" ref="ZX13" ca="1" si="3730">IF(ZE13&lt;&gt;"",INDEX(ZE12:ZE15,MATCH(3,ZW12:ZW15,0),0),"")</f>
        <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Spain</v>
      </c>
      <c r="ABN13" s="319">
        <v>3</v>
      </c>
      <c r="ABO13" s="319">
        <v>11</v>
      </c>
      <c r="ABP13" s="319" t="str">
        <f t="shared" si="50"/>
        <v>Türkiye</v>
      </c>
      <c r="ABQ13" s="322">
        <f ca="1">IF(OFFSET('Player Game Board'!P20,0,ABQ1)&lt;&gt;"",OFFSET('Player Game Board'!P20,0,ABQ1),0)</f>
        <v>2</v>
      </c>
      <c r="ABR13" s="322">
        <f ca="1">IF(OFFSET('Player Game Board'!Q20,0,ABQ1)&lt;&gt;"",OFFSET('Player Game Board'!Q20,0,ABQ1),0)</f>
        <v>0</v>
      </c>
      <c r="ABS13" s="319" t="str">
        <f t="shared" si="51"/>
        <v>Georgia</v>
      </c>
      <c r="ABT13" s="319" t="str">
        <f ca="1">IF(AND(OFFSET('Player Game Board'!P20,0,ABQ1)&lt;&gt;"",OFFSET('Player Game Board'!Q20,0,ABQ1)&lt;&gt;""),IF(ABQ13&gt;ABR13,"W",IF(ABQ13=ABR13,"D","L")),"")</f>
        <v>W</v>
      </c>
      <c r="ABU13" s="319" t="str">
        <f t="shared" ca="1" si="52"/>
        <v>L</v>
      </c>
      <c r="ABV13" s="319"/>
      <c r="ABW13" s="319"/>
      <c r="ABX13" s="324" t="s">
        <v>101</v>
      </c>
      <c r="ABY13" s="325" t="s">
        <v>102</v>
      </c>
      <c r="ABZ13" s="325" t="s">
        <v>103</v>
      </c>
      <c r="ACA13" s="325" t="s">
        <v>104</v>
      </c>
      <c r="ACB13" s="324" t="s">
        <v>101</v>
      </c>
      <c r="ACC13" s="324" t="s">
        <v>104</v>
      </c>
      <c r="ACD13" s="324" t="s">
        <v>102</v>
      </c>
      <c r="ACE13" s="324" t="s">
        <v>103</v>
      </c>
      <c r="ACF13" s="325"/>
      <c r="ACG13" s="326">
        <f t="shared" ref="ACG13" ca="1" si="3752">IFERROR(MATCH(ACG12,ABX13:ACA13,0),0)</f>
        <v>3</v>
      </c>
      <c r="ACH13" s="326">
        <f t="shared" ref="ACH13" ca="1" si="3753">IFERROR(MATCH(ACH12,ABX13:ACA13,0),0)</f>
        <v>2</v>
      </c>
      <c r="ACI13" s="326">
        <f t="shared" ref="ACI13" ca="1" si="3754">IFERROR(MATCH(ACI12,ABX13:ACA13,0),0)</f>
        <v>4</v>
      </c>
      <c r="ACJ13" s="326">
        <f t="shared" ref="ACJ13" ca="1" si="3755">IFERROR(MATCH(ACJ12,ABX13:ACA13,0),0)</f>
        <v>1</v>
      </c>
      <c r="ACK13" s="326">
        <f t="shared" ref="ACK13:ACK27" ca="1" si="3756">SUM(ACG13:ACJ13)</f>
        <v>10</v>
      </c>
      <c r="ACL13" s="325"/>
      <c r="ACM13" s="325" t="str">
        <f t="shared" ref="ACM13" ca="1" si="3757">IF(ACM38="A",INDEX(ABX3:ABX8,MATCH(1,ACK3:ACK8,0),0),"")</f>
        <v>Serbia</v>
      </c>
      <c r="ACN13" s="325"/>
      <c r="ACO13" s="319">
        <f t="shared" ref="ACO13" ca="1" si="3758">VLOOKUP(ACP13,AGK11:AGL15,2,FALSE)</f>
        <v>1</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1</v>
      </c>
      <c r="ACS13" s="319">
        <f t="shared" ref="ACS13" ca="1" si="3761">SUMPRODUCT((AGN3:AGN42=ACP13)*(AGR3:AGR42="L"))+SUMPRODUCT((AGQ3:AGQ42=ACP13)*(AGS3:AGS42="L"))</f>
        <v>0</v>
      </c>
      <c r="ACT13" s="319">
        <f t="shared" ref="ACT13" ca="1" si="3762">SUMIF(AGN3:AGN60,ACP13,AGO3:AGO60)+SUMIF(AGQ3:AGQ60,ACP13,AGP3:AGP60)</f>
        <v>6</v>
      </c>
      <c r="ACU13" s="319">
        <f t="shared" ref="ACU13" ca="1" si="3763">SUMIF(AGQ3:AGQ60,ACP13,AGO3:AGO60)+SUMIF(AGN3:AGN60,ACP13,AGP3:AGP60)</f>
        <v>2</v>
      </c>
      <c r="ACV13" s="319">
        <f t="shared" ca="1" si="2836"/>
        <v>1004</v>
      </c>
      <c r="ACW13" s="319">
        <f t="shared" ca="1" si="2837"/>
        <v>7</v>
      </c>
      <c r="ACX13" s="319">
        <f t="shared" si="810"/>
        <v>51</v>
      </c>
      <c r="ACY13" s="319">
        <f t="shared" ref="ACY13" ca="1" si="3764">IF(COUNTIF(ACW11:ACW15,4)&lt;&gt;4,RANK(ACW13,ACW11:ACW15),ACW53)</f>
        <v>1</v>
      </c>
      <c r="ACZ13" s="319"/>
      <c r="ADA13" s="319">
        <f t="shared" ref="ADA13" ca="1" si="3765">SUMPRODUCT((ACY11:ACY14=ACY13)*(ACX11:ACX14&lt;ACX13))+ACY13</f>
        <v>2</v>
      </c>
      <c r="ADB13" s="319" t="str">
        <f t="shared" ref="ADB13" ca="1" si="3766">INDEX(ACP11:ACP15,MATCH(3,ADA11:ADA15,0),0)</f>
        <v>Croatia</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2</v>
      </c>
      <c r="AGP13" s="322">
        <f ca="1">IF(OFFSET('Player Game Board'!Q20,0,AGO1)&lt;&gt;"",OFFSET('Player Game Board'!Q20,0,AGO1),0)</f>
        <v>1</v>
      </c>
      <c r="AGQ13" s="319" t="str">
        <f t="shared" si="67"/>
        <v>Georgia</v>
      </c>
      <c r="AGR13" s="319" t="str">
        <f ca="1">IF(AND(OFFSET('Player Game Board'!P20,0,AGO1)&lt;&gt;"",OFFSET('Player Game Board'!Q20,0,AGO1)&lt;&gt;""),IF(AGO13&gt;AGP13,"W",IF(AGO13=AGP13,"D","L")),"")</f>
        <v>W</v>
      </c>
      <c r="AGS13" s="319" t="str">
        <f t="shared" ca="1" si="68"/>
        <v>L</v>
      </c>
      <c r="AGT13" s="319"/>
      <c r="AGU13" s="319"/>
      <c r="AGV13" s="324" t="s">
        <v>101</v>
      </c>
      <c r="AGW13" s="325" t="s">
        <v>102</v>
      </c>
      <c r="AGX13" s="325" t="s">
        <v>103</v>
      </c>
      <c r="AGY13" s="325" t="s">
        <v>104</v>
      </c>
      <c r="AGZ13" s="324" t="s">
        <v>101</v>
      </c>
      <c r="AHA13" s="324" t="s">
        <v>104</v>
      </c>
      <c r="AHB13" s="324" t="s">
        <v>102</v>
      </c>
      <c r="AHC13" s="324" t="s">
        <v>103</v>
      </c>
      <c r="AHD13" s="325"/>
      <c r="AHE13" s="326">
        <f t="shared" ref="AHE13" ca="1" si="3822">IFERROR(MATCH(AHE12,AGV13:AGY13,0),0)</f>
        <v>0</v>
      </c>
      <c r="AHF13" s="326">
        <f t="shared" ref="AHF13" ca="1" si="3823">IFERROR(MATCH(AHF12,AGV13:AGY13,0),0)</f>
        <v>1</v>
      </c>
      <c r="AHG13" s="326">
        <f t="shared" ref="AHG13" ca="1" si="3824">IFERROR(MATCH(AHG12,AGV13:AGY13,0),0)</f>
        <v>2</v>
      </c>
      <c r="AHH13" s="326">
        <f t="shared" ref="AHH13" ca="1" si="3825">IFERROR(MATCH(AHH12,AGV13:AGY13,0),0)</f>
        <v>3</v>
      </c>
      <c r="AHI13" s="326">
        <f t="shared" ref="AHI13:AHI27" ca="1" si="3826">SUM(AHE13:AHH13)</f>
        <v>6</v>
      </c>
      <c r="AHJ13" s="325"/>
      <c r="AHK13" s="325" t="str">
        <f t="shared" ref="AHK13" ca="1" si="3827">IF(AHK38="A",INDEX(AGV3:AGV8,MATCH(1,AHI3:AHI8,0),0),"")</f>
        <v>Türkiye</v>
      </c>
      <c r="AHL13" s="325"/>
      <c r="AHM13" s="319">
        <f t="shared" ref="AHM13" ca="1" si="3828">VLOOKUP(AHN13,ALI11:ALJ15,2,FALSE)</f>
        <v>1</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7</v>
      </c>
      <c r="AHS13" s="319">
        <f t="shared" ref="AHS13" ca="1" si="3833">SUMIF(ALO3:ALO60,AHN13,ALM3:ALM60)+SUMIF(ALL3:ALL60,AHN13,ALN3:ALN60)</f>
        <v>2</v>
      </c>
      <c r="AHT13" s="319">
        <f t="shared" ca="1" si="2873"/>
        <v>1005</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1</v>
      </c>
      <c r="AHZ13" s="319" t="str">
        <f t="shared" ref="AHZ13" ca="1" si="3836">INDEX(AHN11:AHN15,MATCH(3,AHY11:AHY15,0),0)</f>
        <v>Italy</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Italy</v>
      </c>
      <c r="ALJ13" s="319">
        <v>3</v>
      </c>
      <c r="ALK13" s="319">
        <v>11</v>
      </c>
      <c r="ALL13" s="319" t="str">
        <f t="shared" si="82"/>
        <v>Türkiye</v>
      </c>
      <c r="ALM13" s="322">
        <f ca="1">IF(OFFSET('Player Game Board'!P20,0,ALM1)&lt;&gt;"",OFFSET('Player Game Board'!P20,0,ALM1),0)</f>
        <v>3</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101</v>
      </c>
      <c r="ALU13" s="325" t="s">
        <v>102</v>
      </c>
      <c r="ALV13" s="325" t="s">
        <v>103</v>
      </c>
      <c r="ALW13" s="325" t="s">
        <v>104</v>
      </c>
      <c r="ALX13" s="324" t="s">
        <v>101</v>
      </c>
      <c r="ALY13" s="324" t="s">
        <v>104</v>
      </c>
      <c r="ALZ13" s="324" t="s">
        <v>102</v>
      </c>
      <c r="AMA13" s="324" t="s">
        <v>103</v>
      </c>
      <c r="AMB13" s="325"/>
      <c r="AMC13" s="326">
        <f t="shared" ref="AMC13" ca="1" si="3892">IFERROR(MATCH(AMC12,ALT13:ALW13,0),0)</f>
        <v>2</v>
      </c>
      <c r="AMD13" s="326">
        <f t="shared" ref="AMD13" ca="1" si="3893">IFERROR(MATCH(AMD12,ALT13:ALW13,0),0)</f>
        <v>3</v>
      </c>
      <c r="AME13" s="326">
        <f t="shared" ref="AME13" ca="1" si="3894">IFERROR(MATCH(AME12,ALT13:ALW13,0),0)</f>
        <v>0</v>
      </c>
      <c r="AMF13" s="326">
        <f t="shared" ref="AMF13" ca="1" si="3895">IFERROR(MATCH(AMF12,ALT13:ALW13,0),0)</f>
        <v>0</v>
      </c>
      <c r="AMG13" s="326">
        <f t="shared" ref="AMG13:AMG27" ca="1" si="3896">SUM(AMC13:AMF13)</f>
        <v>5</v>
      </c>
      <c r="AMH13" s="325"/>
      <c r="AMI13" s="325" t="str">
        <f t="shared" ref="AMI13" ca="1" si="3897">IF(AMI38="A",INDEX(ALT3:ALT8,MATCH(1,AMG3:AMG8,0),0),"")</f>
        <v>Italy</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101</v>
      </c>
      <c r="AQS13" s="325" t="s">
        <v>102</v>
      </c>
      <c r="AQT13" s="325" t="s">
        <v>103</v>
      </c>
      <c r="AQU13" s="325" t="s">
        <v>104</v>
      </c>
      <c r="AQV13" s="324" t="s">
        <v>101</v>
      </c>
      <c r="AQW13" s="324" t="s">
        <v>104</v>
      </c>
      <c r="AQX13" s="324" t="s">
        <v>102</v>
      </c>
      <c r="AQY13" s="324" t="s">
        <v>103</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101</v>
      </c>
      <c r="AVQ13" s="325" t="s">
        <v>102</v>
      </c>
      <c r="AVR13" s="325" t="s">
        <v>103</v>
      </c>
      <c r="AVS13" s="325" t="s">
        <v>104</v>
      </c>
      <c r="AVT13" s="324" t="s">
        <v>101</v>
      </c>
      <c r="AVU13" s="324" t="s">
        <v>104</v>
      </c>
      <c r="AVV13" s="324" t="s">
        <v>102</v>
      </c>
      <c r="AVW13" s="324" t="s">
        <v>103</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101</v>
      </c>
      <c r="BAO13" s="325" t="s">
        <v>102</v>
      </c>
      <c r="BAP13" s="325" t="s">
        <v>103</v>
      </c>
      <c r="BAQ13" s="325" t="s">
        <v>104</v>
      </c>
      <c r="BAR13" s="324" t="s">
        <v>101</v>
      </c>
      <c r="BAS13" s="324" t="s">
        <v>104</v>
      </c>
      <c r="BAT13" s="324" t="s">
        <v>102</v>
      </c>
      <c r="BAU13" s="324" t="s">
        <v>103</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101</v>
      </c>
      <c r="BFM13" s="325" t="s">
        <v>102</v>
      </c>
      <c r="BFN13" s="325" t="s">
        <v>103</v>
      </c>
      <c r="BFO13" s="325" t="s">
        <v>104</v>
      </c>
      <c r="BFP13" s="324" t="s">
        <v>101</v>
      </c>
      <c r="BFQ13" s="324" t="s">
        <v>104</v>
      </c>
      <c r="BFR13" s="324" t="s">
        <v>102</v>
      </c>
      <c r="BFS13" s="324" t="s">
        <v>103</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101</v>
      </c>
      <c r="DI14" s="325" t="s">
        <v>102</v>
      </c>
      <c r="DJ14" s="325" t="s">
        <v>103</v>
      </c>
      <c r="DK14" s="325" t="s">
        <v>105</v>
      </c>
      <c r="DL14" s="324" t="s">
        <v>101</v>
      </c>
      <c r="DM14" s="324" t="s">
        <v>105</v>
      </c>
      <c r="DN14" s="324" t="s">
        <v>102</v>
      </c>
      <c r="DO14" s="324" t="s">
        <v>103</v>
      </c>
      <c r="DP14" s="325"/>
      <c r="DQ14" s="326">
        <f>IFERROR(MATCH(DQ12,DH14:DK14,0),0)</f>
        <v>0</v>
      </c>
      <c r="DR14" s="326">
        <f>IFERROR(MATCH(DR12,DH14:DK14,0),0)</f>
        <v>4</v>
      </c>
      <c r="DS14" s="326">
        <f>IFERROR(MATCH(DS12,DH14:DK14,0),0)</f>
        <v>3</v>
      </c>
      <c r="DT14" s="326">
        <f>IFERROR(MATCH(DT12,DH14:DK14,0),0)</f>
        <v>2</v>
      </c>
      <c r="DU14" s="326">
        <f t="shared" si="3541"/>
        <v>9</v>
      </c>
      <c r="DV14" s="325"/>
      <c r="DW14" s="325" t="str">
        <f>INDEX(DH3:DH8,MATCH(2,DU3:DU8,0),0)</f>
        <v>Slovakia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0</v>
      </c>
      <c r="EC14" s="319">
        <f ca="1">SUMPRODUCT((HX3:HX42=DZ14)*(IB3:IB42="L"))+SUMPRODUCT((IA3:IA42=DZ14)*(IC3:IC42="L"))</f>
        <v>2</v>
      </c>
      <c r="ED14" s="319">
        <f ca="1">SUMIF(HX3:HX60,DZ14,HY3:HY60)+SUMIF(IA3:IA60,DZ14,HZ3:HZ60)</f>
        <v>4</v>
      </c>
      <c r="EE14" s="319">
        <f ca="1">SUMIF(IA3:IA60,DZ14,HY3:HY60)+SUMIF(HX3:HX60,DZ14,HZ3:HZ60)</f>
        <v>6</v>
      </c>
      <c r="EF14" s="319">
        <f t="shared" ca="1" si="2710"/>
        <v>998</v>
      </c>
      <c r="EG14" s="319">
        <f t="shared" ca="1" si="2711"/>
        <v>3</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101</v>
      </c>
      <c r="IG14" s="325" t="s">
        <v>102</v>
      </c>
      <c r="IH14" s="325" t="s">
        <v>103</v>
      </c>
      <c r="II14" s="325" t="s">
        <v>105</v>
      </c>
      <c r="IJ14" s="324" t="s">
        <v>101</v>
      </c>
      <c r="IK14" s="324" t="s">
        <v>105</v>
      </c>
      <c r="IL14" s="324" t="s">
        <v>102</v>
      </c>
      <c r="IM14" s="324" t="s">
        <v>103</v>
      </c>
      <c r="IN14" s="325"/>
      <c r="IO14" s="326">
        <f ca="1">IFERROR(MATCH(IO12,IF14:II14,0),0)</f>
        <v>1</v>
      </c>
      <c r="IP14" s="326">
        <f ca="1">IFERROR(MATCH(IP12,IF14:II14,0),0)</f>
        <v>0</v>
      </c>
      <c r="IQ14" s="326">
        <f ca="1">IFERROR(MATCH(IQ12,IF14:II14,0),0)</f>
        <v>0</v>
      </c>
      <c r="IR14" s="326">
        <f ca="1">IFERROR(MATCH(IR12,IF14:II14,0),0)</f>
        <v>2</v>
      </c>
      <c r="IS14" s="326">
        <f t="shared" ca="1" si="3544"/>
        <v>3</v>
      </c>
      <c r="IT14" s="325"/>
      <c r="IU14" s="325" t="str">
        <f ca="1">INDEX(IF3:IF8,MATCH(2,IS3:IS8,0),0)</f>
        <v>Austria</v>
      </c>
      <c r="IV14" s="325"/>
      <c r="IW14" s="319">
        <f ca="1">VLOOKUP(IX14,MS11:MT15,2,FALSE)</f>
        <v>3</v>
      </c>
      <c r="IX14" s="319" t="str">
        <f t="shared" si="3058"/>
        <v>Croatia</v>
      </c>
      <c r="IY14" s="319">
        <f ca="1">SUMPRODUCT((MV3:MV42=IX14)*(MZ3:MZ42="W"))+SUMPRODUCT((MY3:MY42=IX14)*(NA3:NA42="W"))</f>
        <v>1</v>
      </c>
      <c r="IZ14" s="319">
        <f ca="1">SUMPRODUCT((MV3:MV42=IX14)*(MZ3:MZ42="D"))+SUMPRODUCT((MY3:MY42=IX14)*(NA3:NA42="D"))</f>
        <v>1</v>
      </c>
      <c r="JA14" s="319">
        <f ca="1">SUMPRODUCT((MV3:MV42=IX14)*(MZ3:MZ42="L"))+SUMPRODUCT((MY3:MY42=IX14)*(NA3:NA42="L"))</f>
        <v>1</v>
      </c>
      <c r="JB14" s="319">
        <f ca="1">SUMIF(MV3:MV60,IX14,MW3:MW60)+SUMIF(MY3:MY60,IX14,MX3:MX60)</f>
        <v>5</v>
      </c>
      <c r="JC14" s="319">
        <f ca="1">SUMIF(MY3:MY60,IX14,MW3:MW60)+SUMIF(MV3:MV60,IX14,MX3:MX60)</f>
        <v>3</v>
      </c>
      <c r="JD14" s="319">
        <f t="shared" ca="1" si="2714"/>
        <v>1002</v>
      </c>
      <c r="JE14" s="319">
        <f t="shared" ca="1" si="2715"/>
        <v>4</v>
      </c>
      <c r="JF14" s="319">
        <f t="shared" si="618"/>
        <v>40</v>
      </c>
      <c r="JG14" s="319">
        <f ca="1">IF(COUNTIF(JE11:JE15,4)&lt;&gt;4,RANK(JE14,JE11:JE15),JE54)</f>
        <v>3</v>
      </c>
      <c r="JH14" s="319"/>
      <c r="JI14" s="319">
        <f ca="1">SUMPRODUCT((JG11:JG14=JG14)*(JF11:JF14&lt;JF14))+JG14</f>
        <v>3</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3</v>
      </c>
      <c r="MY14" s="319" t="str">
        <f t="shared" si="171"/>
        <v>Czechia</v>
      </c>
      <c r="MZ14" s="319" t="str">
        <f ca="1">IF(AND(OFFSET('Player Game Board'!P21,0,MW1)&lt;&gt;"",OFFSET('Player Game Board'!Q21,0,MW1)&lt;&gt;""),IF(MW14&gt;MX14,"W",IF(MW14=MX14,"D","L")),"")</f>
        <v>L</v>
      </c>
      <c r="NA14" s="319" t="str">
        <f t="shared" ca="1" si="172"/>
        <v>W</v>
      </c>
      <c r="NB14" s="319"/>
      <c r="NC14" s="319"/>
      <c r="ND14" s="324" t="s">
        <v>101</v>
      </c>
      <c r="NE14" s="325" t="s">
        <v>102</v>
      </c>
      <c r="NF14" s="325" t="s">
        <v>103</v>
      </c>
      <c r="NG14" s="325" t="s">
        <v>105</v>
      </c>
      <c r="NH14" s="324" t="s">
        <v>101</v>
      </c>
      <c r="NI14" s="324" t="s">
        <v>105</v>
      </c>
      <c r="NJ14" s="324" t="s">
        <v>102</v>
      </c>
      <c r="NK14" s="324" t="s">
        <v>103</v>
      </c>
      <c r="NL14" s="325"/>
      <c r="NM14" s="326">
        <f ca="1">IFERROR(MATCH(NM12,ND14:NG14,0),0)</f>
        <v>2</v>
      </c>
      <c r="NN14" s="326">
        <f ca="1">IFERROR(MATCH(NN12,ND14:NG14,0),0)</f>
        <v>1</v>
      </c>
      <c r="NO14" s="326">
        <f ca="1">IFERROR(MATCH(NO12,ND14:NG14,0),0)</f>
        <v>0</v>
      </c>
      <c r="NP14" s="326">
        <f ca="1">IFERROR(MATCH(NP12,ND14:NG14,0),0)</f>
        <v>4</v>
      </c>
      <c r="NQ14" s="326">
        <f t="shared" ca="1" si="3547"/>
        <v>7</v>
      </c>
      <c r="NR14" s="325"/>
      <c r="NS14" s="325" t="str">
        <f ca="1">INDEX(ND3:ND8,MATCH(2,NQ3:NQ8,0),0)</f>
        <v>Hungary</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0</v>
      </c>
      <c r="NY14" s="319">
        <f t="shared" ref="NY14" ca="1" si="4187">SUMPRODUCT((RT3:RT42=NV14)*(RX3:RX42="L"))+SUMPRODUCT((RW3:RW42=NV14)*(RY3:RY42="L"))</f>
        <v>2</v>
      </c>
      <c r="NZ14" s="319">
        <f t="shared" ref="NZ14" ca="1" si="4188">SUMIF(RT3:RT60,NV14,RU3:RU60)+SUMIF(RW3:RW60,NV14,RV3:RV60)</f>
        <v>4</v>
      </c>
      <c r="OA14" s="319">
        <f t="shared" ref="OA14" ca="1" si="4189">SUMIF(RW3:RW60,NV14,RU3:RU60)+SUMIF(RT3:RT60,NV14,RV3:RV60)</f>
        <v>4</v>
      </c>
      <c r="OB14" s="319">
        <f t="shared" ca="1" si="2725"/>
        <v>1000</v>
      </c>
      <c r="OC14" s="319">
        <f t="shared" ca="1" si="2726"/>
        <v>3</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101</v>
      </c>
      <c r="SC14" s="325" t="s">
        <v>102</v>
      </c>
      <c r="SD14" s="325" t="s">
        <v>103</v>
      </c>
      <c r="SE14" s="325" t="s">
        <v>105</v>
      </c>
      <c r="SF14" s="324" t="s">
        <v>101</v>
      </c>
      <c r="SG14" s="324" t="s">
        <v>105</v>
      </c>
      <c r="SH14" s="324" t="s">
        <v>102</v>
      </c>
      <c r="SI14" s="324" t="s">
        <v>103</v>
      </c>
      <c r="SJ14" s="325"/>
      <c r="SK14" s="326">
        <f t="shared" ref="SK14" ca="1" si="4260">IFERROR(MATCH(SK12,SB14:SE14,0),0)</f>
        <v>3</v>
      </c>
      <c r="SL14" s="326">
        <f t="shared" ref="SL14" ca="1" si="4261">IFERROR(MATCH(SL12,SB14:SE14,0),0)</f>
        <v>2</v>
      </c>
      <c r="SM14" s="326">
        <f t="shared" ref="SM14" ca="1" si="4262">IFERROR(MATCH(SM12,SB14:SE14,0),0)</f>
        <v>0</v>
      </c>
      <c r="SN14" s="326">
        <f t="shared" ref="SN14" ca="1" si="4263">IFERROR(MATCH(SN12,SB14:SE14,0),0)</f>
        <v>4</v>
      </c>
      <c r="SO14" s="326">
        <f t="shared" ca="1" si="3616"/>
        <v>9</v>
      </c>
      <c r="SP14" s="325"/>
      <c r="SQ14" s="325" t="str">
        <f t="shared" ref="SQ14" ca="1" si="4264">INDEX(SB3:SB8,MATCH(2,SO3:SO8,0),0)</f>
        <v>Croatia</v>
      </c>
      <c r="SR14" s="325"/>
      <c r="SS14" s="319">
        <f t="shared" ref="SS14" ca="1" si="4265">VLOOKUP(ST14,WO11:WP15,2,FALSE)</f>
        <v>3</v>
      </c>
      <c r="ST14" s="319" t="str">
        <f t="shared" si="2756"/>
        <v>Croatia</v>
      </c>
      <c r="SU14" s="319">
        <f t="shared" ref="SU14" ca="1" si="4266">SUMPRODUCT((WR3:WR42=ST14)*(WV3:WV42="W"))+SUMPRODUCT((WU3:WU42=ST14)*(WW3:WW42="W"))</f>
        <v>1</v>
      </c>
      <c r="SV14" s="319">
        <f t="shared" ref="SV14" ca="1" si="4267">SUMPRODUCT((WR3:WR42=ST14)*(WV3:WV42="D"))+SUMPRODUCT((WU3:WU42=ST14)*(WW3:WW42="D"))</f>
        <v>0</v>
      </c>
      <c r="SW14" s="319">
        <f t="shared" ref="SW14" ca="1" si="4268">SUMPRODUCT((WR3:WR42=ST14)*(WV3:WV42="L"))+SUMPRODUCT((WU3:WU42=ST14)*(WW3:WW42="L"))</f>
        <v>2</v>
      </c>
      <c r="SX14" s="319">
        <f t="shared" ref="SX14" ca="1" si="4269">SUMIF(WR3:WR60,ST14,WS3:WS60)+SUMIF(WU3:WU60,ST14,WT3:WT60)</f>
        <v>4</v>
      </c>
      <c r="SY14" s="319">
        <f t="shared" ref="SY14" ca="1" si="4270">SUMIF(WU3:WU60,ST14,WS3:WS60)+SUMIF(WR3:WR60,ST14,WT3:WT60)</f>
        <v>4</v>
      </c>
      <c r="SZ14" s="319">
        <f t="shared" ca="1" si="2762"/>
        <v>1000</v>
      </c>
      <c r="TA14" s="319">
        <f t="shared" ca="1" si="2763"/>
        <v>3</v>
      </c>
      <c r="TB14" s="319">
        <f t="shared" si="690"/>
        <v>40</v>
      </c>
      <c r="TC14" s="319">
        <f t="shared" ref="TC14" ca="1" si="4271">IF(COUNTIF(TA11:TA15,4)&lt;&gt;4,RANK(TA14,TA11:TA15),TA54)</f>
        <v>3</v>
      </c>
      <c r="TD14" s="319"/>
      <c r="TE14" s="319">
        <f t="shared" ref="TE14" ca="1" si="4272">SUMPRODUCT((TC11:TC14=TC14)*(TB11:TB14&lt;TB14))+TC14</f>
        <v>3</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1</v>
      </c>
      <c r="WT14" s="322">
        <f ca="1">IF(OFFSET('Player Game Board'!Q21,0,WS1)&lt;&gt;"",OFFSET('Player Game Board'!Q21,0,WS1),0)</f>
        <v>0</v>
      </c>
      <c r="WU14" s="319" t="str">
        <f t="shared" si="35"/>
        <v>Czechia</v>
      </c>
      <c r="WV14" s="319" t="str">
        <f ca="1">IF(AND(OFFSET('Player Game Board'!P21,0,WS1)&lt;&gt;"",OFFSET('Player Game Board'!Q21,0,WS1)&lt;&gt;""),IF(WS14&gt;WT14,"W",IF(WS14=WT14,"D","L")),"")</f>
        <v>W</v>
      </c>
      <c r="WW14" s="319" t="str">
        <f t="shared" ca="1" si="36"/>
        <v>L</v>
      </c>
      <c r="WX14" s="319"/>
      <c r="WY14" s="319"/>
      <c r="WZ14" s="324" t="s">
        <v>101</v>
      </c>
      <c r="XA14" s="325" t="s">
        <v>102</v>
      </c>
      <c r="XB14" s="325" t="s">
        <v>103</v>
      </c>
      <c r="XC14" s="325" t="s">
        <v>105</v>
      </c>
      <c r="XD14" s="324" t="s">
        <v>101</v>
      </c>
      <c r="XE14" s="324" t="s">
        <v>105</v>
      </c>
      <c r="XF14" s="324" t="s">
        <v>102</v>
      </c>
      <c r="XG14" s="324" t="s">
        <v>103</v>
      </c>
      <c r="XH14" s="325"/>
      <c r="XI14" s="326">
        <f t="shared" ref="XI14" ca="1" si="4341">IFERROR(MATCH(XI12,WZ14:XC14,0),0)</f>
        <v>0</v>
      </c>
      <c r="XJ14" s="326">
        <f t="shared" ref="XJ14" ca="1" si="4342">IFERROR(MATCH(XJ12,WZ14:XC14,0),0)</f>
        <v>4</v>
      </c>
      <c r="XK14" s="326">
        <f t="shared" ref="XK14" ca="1" si="4343">IFERROR(MATCH(XK12,WZ14:XC14,0),0)</f>
        <v>2</v>
      </c>
      <c r="XL14" s="326">
        <f t="shared" ref="XL14" ca="1" si="4344">IFERROR(MATCH(XL12,WZ14:XC14,0),0)</f>
        <v>1</v>
      </c>
      <c r="XM14" s="326">
        <f t="shared" ca="1" si="3686"/>
        <v>7</v>
      </c>
      <c r="XN14" s="325"/>
      <c r="XO14" s="325" t="str">
        <f t="shared" ref="XO14" ca="1" si="4345">INDEX(WZ3:WZ8,MATCH(2,XM3:XM8,0),0)</f>
        <v>Ukraine</v>
      </c>
      <c r="XP14" s="325"/>
      <c r="XQ14" s="319">
        <f t="shared" ref="XQ14" ca="1" si="4346">VLOOKUP(XR14,ABM11:ABN15,2,FALSE)</f>
        <v>2</v>
      </c>
      <c r="XR14" s="319" t="str">
        <f t="shared" si="2793"/>
        <v>Croatia</v>
      </c>
      <c r="XS14" s="319">
        <f t="shared" ref="XS14" ca="1" si="4347">SUMPRODUCT((ABP3:ABP42=XR14)*(ABT3:ABT42="W"))+SUMPRODUCT((ABS3:ABS42=XR14)*(ABU3:ABU42="W"))</f>
        <v>1</v>
      </c>
      <c r="XT14" s="319">
        <f t="shared" ref="XT14" ca="1" si="4348">SUMPRODUCT((ABP3:ABP42=XR14)*(ABT3:ABT42="D"))+SUMPRODUCT((ABS3:ABS42=XR14)*(ABU3:ABU42="D"))</f>
        <v>2</v>
      </c>
      <c r="XU14" s="319">
        <f t="shared" ref="XU14" ca="1" si="4349">SUMPRODUCT((ABP3:ABP42=XR14)*(ABT3:ABT42="L"))+SUMPRODUCT((ABS3:ABS42=XR14)*(ABU3:ABU42="L"))</f>
        <v>0</v>
      </c>
      <c r="XV14" s="319">
        <f t="shared" ref="XV14" ca="1" si="4350">SUMIF(ABP3:ABP60,XR14,ABQ3:ABQ60)+SUMIF(ABS3:ABS60,XR14,ABR3:ABR60)</f>
        <v>4</v>
      </c>
      <c r="XW14" s="319">
        <f t="shared" ref="XW14" ca="1" si="4351">SUMIF(ABS3:ABS60,XR14,ABQ3:ABQ60)+SUMIF(ABP3:ABP60,XR14,ABR3:ABR60)</f>
        <v>2</v>
      </c>
      <c r="XX14" s="319">
        <f t="shared" ca="1" si="2799"/>
        <v>1002</v>
      </c>
      <c r="XY14" s="319">
        <f t="shared" ca="1" si="2800"/>
        <v>5</v>
      </c>
      <c r="XZ14" s="319">
        <f t="shared" si="750"/>
        <v>40</v>
      </c>
      <c r="YA14" s="319">
        <f t="shared" ref="YA14" ca="1" si="4352">IF(COUNTIF(XY11:XY15,4)&lt;&gt;4,RANK(XY14,XY11:XY15),XY54)</f>
        <v>2</v>
      </c>
      <c r="YB14" s="319"/>
      <c r="YC14" s="319">
        <f t="shared" ref="YC14" ca="1" si="4353">SUMPRODUCT((YA11:YA14=YA14)*(XZ11:XZ14&lt;XZ14))+YA14</f>
        <v>2</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3</v>
      </c>
      <c r="ABR14" s="322">
        <f ca="1">IF(OFFSET('Player Game Board'!Q21,0,ABQ1)&lt;&gt;"",OFFSET('Player Game Board'!Q21,0,ABQ1),0)</f>
        <v>1</v>
      </c>
      <c r="ABS14" s="319" t="str">
        <f t="shared" si="51"/>
        <v>Czechia</v>
      </c>
      <c r="ABT14" s="319" t="str">
        <f ca="1">IF(AND(OFFSET('Player Game Board'!P21,0,ABQ1)&lt;&gt;"",OFFSET('Player Game Board'!Q21,0,ABQ1)&lt;&gt;""),IF(ABQ14&gt;ABR14,"W",IF(ABQ14=ABR14,"D","L")),"")</f>
        <v>W</v>
      </c>
      <c r="ABU14" s="319" t="str">
        <f t="shared" ca="1" si="52"/>
        <v>L</v>
      </c>
      <c r="ABV14" s="319"/>
      <c r="ABW14" s="319"/>
      <c r="ABX14" s="324" t="s">
        <v>101</v>
      </c>
      <c r="ABY14" s="325" t="s">
        <v>102</v>
      </c>
      <c r="ABZ14" s="325" t="s">
        <v>103</v>
      </c>
      <c r="ACA14" s="325" t="s">
        <v>105</v>
      </c>
      <c r="ACB14" s="324" t="s">
        <v>101</v>
      </c>
      <c r="ACC14" s="324" t="s">
        <v>105</v>
      </c>
      <c r="ACD14" s="324" t="s">
        <v>102</v>
      </c>
      <c r="ACE14" s="324" t="s">
        <v>103</v>
      </c>
      <c r="ACF14" s="325"/>
      <c r="ACG14" s="326">
        <f t="shared" ref="ACG14" ca="1" si="4422">IFERROR(MATCH(ACG12,ABX14:ACA14,0),0)</f>
        <v>3</v>
      </c>
      <c r="ACH14" s="326">
        <f t="shared" ref="ACH14" ca="1" si="4423">IFERROR(MATCH(ACH12,ABX14:ACA14,0),0)</f>
        <v>2</v>
      </c>
      <c r="ACI14" s="326">
        <f t="shared" ref="ACI14" ca="1" si="4424">IFERROR(MATCH(ACI12,ABX14:ACA14,0),0)</f>
        <v>0</v>
      </c>
      <c r="ACJ14" s="326">
        <f t="shared" ref="ACJ14" ca="1" si="4425">IFERROR(MATCH(ACJ12,ABX14:ACA14,0),0)</f>
        <v>1</v>
      </c>
      <c r="ACK14" s="326">
        <f t="shared" ca="1" si="3756"/>
        <v>6</v>
      </c>
      <c r="ACL14" s="325"/>
      <c r="ACM14" s="325" t="str">
        <f t="shared" ref="ACM14" ca="1" si="4426">INDEX(ABX3:ABX8,MATCH(2,ACK3:ACK8,0),0)</f>
        <v>Spain</v>
      </c>
      <c r="ACN14" s="325"/>
      <c r="ACO14" s="319">
        <f t="shared" ref="ACO14" ca="1" si="4427">VLOOKUP(ACP14,AGK11:AGL15,2,FALSE)</f>
        <v>3</v>
      </c>
      <c r="ACP14" s="319" t="str">
        <f t="shared" si="2830"/>
        <v>Croatia</v>
      </c>
      <c r="ACQ14" s="319">
        <f t="shared" ref="ACQ14" ca="1" si="4428">SUMPRODUCT((AGN3:AGN42=ACP14)*(AGR3:AGR42="W"))+SUMPRODUCT((AGQ3:AGQ42=ACP14)*(AGS3:AGS42="W"))</f>
        <v>1</v>
      </c>
      <c r="ACR14" s="319">
        <f t="shared" ref="ACR14" ca="1" si="4429">SUMPRODUCT((AGN3:AGN42=ACP14)*(AGR3:AGR42="D"))+SUMPRODUCT((AGQ3:AGQ42=ACP14)*(AGS3:AGS42="D"))</f>
        <v>0</v>
      </c>
      <c r="ACS14" s="319">
        <f t="shared" ref="ACS14" ca="1" si="4430">SUMPRODUCT((AGN3:AGN42=ACP14)*(AGR3:AGR42="L"))+SUMPRODUCT((AGQ3:AGQ42=ACP14)*(AGS3:AGS42="L"))</f>
        <v>2</v>
      </c>
      <c r="ACT14" s="319">
        <f t="shared" ref="ACT14" ca="1" si="4431">SUMIF(AGN3:AGN60,ACP14,AGO3:AGO60)+SUMIF(AGQ3:AGQ60,ACP14,AGP3:AGP60)</f>
        <v>4</v>
      </c>
      <c r="ACU14" s="319">
        <f t="shared" ref="ACU14" ca="1" si="4432">SUMIF(AGQ3:AGQ60,ACP14,AGO3:AGO60)+SUMIF(AGN3:AGN60,ACP14,AGP3:AGP60)</f>
        <v>4</v>
      </c>
      <c r="ACV14" s="319">
        <f t="shared" ca="1" si="2836"/>
        <v>1000</v>
      </c>
      <c r="ACW14" s="319">
        <f t="shared" ca="1" si="2837"/>
        <v>3</v>
      </c>
      <c r="ACX14" s="319">
        <f t="shared" si="810"/>
        <v>40</v>
      </c>
      <c r="ACY14" s="319">
        <f t="shared" ref="ACY14" ca="1" si="4433">IF(COUNTIF(ACW11:ACW15,4)&lt;&gt;4,RANK(ACW14,ACW11:ACW15),ACW54)</f>
        <v>3</v>
      </c>
      <c r="ACZ14" s="319"/>
      <c r="ADA14" s="319">
        <f t="shared" ref="ADA14" ca="1" si="4434">SUMPRODUCT((ACY11:ACY14=ACY14)*(ACX11:ACX14&lt;ACX14))+ACY14</f>
        <v>3</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3</v>
      </c>
      <c r="AGP14" s="322">
        <f ca="1">IF(OFFSET('Player Game Board'!Q21,0,AGO1)&lt;&gt;"",OFFSET('Player Game Board'!Q21,0,AGO1),0)</f>
        <v>2</v>
      </c>
      <c r="AGQ14" s="319" t="str">
        <f t="shared" si="67"/>
        <v>Czechia</v>
      </c>
      <c r="AGR14" s="319" t="str">
        <f ca="1">IF(AND(OFFSET('Player Game Board'!P21,0,AGO1)&lt;&gt;"",OFFSET('Player Game Board'!Q21,0,AGO1)&lt;&gt;""),IF(AGO14&gt;AGP14,"W",IF(AGO14=AGP14,"D","L")),"")</f>
        <v>W</v>
      </c>
      <c r="AGS14" s="319" t="str">
        <f t="shared" ca="1" si="68"/>
        <v>L</v>
      </c>
      <c r="AGT14" s="319"/>
      <c r="AGU14" s="319"/>
      <c r="AGV14" s="324" t="s">
        <v>101</v>
      </c>
      <c r="AGW14" s="325" t="s">
        <v>102</v>
      </c>
      <c r="AGX14" s="325" t="s">
        <v>103</v>
      </c>
      <c r="AGY14" s="325" t="s">
        <v>105</v>
      </c>
      <c r="AGZ14" s="324" t="s">
        <v>101</v>
      </c>
      <c r="AHA14" s="324" t="s">
        <v>105</v>
      </c>
      <c r="AHB14" s="324" t="s">
        <v>102</v>
      </c>
      <c r="AHC14" s="324" t="s">
        <v>103</v>
      </c>
      <c r="AHD14" s="325"/>
      <c r="AHE14" s="326">
        <f t="shared" ref="AHE14" ca="1" si="4503">IFERROR(MATCH(AHE12,AGV14:AGY14,0),0)</f>
        <v>0</v>
      </c>
      <c r="AHF14" s="326">
        <f t="shared" ref="AHF14" ca="1" si="4504">IFERROR(MATCH(AHF12,AGV14:AGY14,0),0)</f>
        <v>1</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Scotland</v>
      </c>
      <c r="AHL14" s="325"/>
      <c r="AHM14" s="319">
        <f t="shared" ref="AHM14" ca="1" si="4508">VLOOKUP(AHN14,ALI11:ALJ15,2,FALSE)</f>
        <v>2</v>
      </c>
      <c r="AHN14" s="319" t="str">
        <f t="shared" si="2867"/>
        <v>Croatia</v>
      </c>
      <c r="AHO14" s="319">
        <f t="shared" ref="AHO14" ca="1" si="4509">SUMPRODUCT((ALL3:ALL42=AHN14)*(ALP3:ALP42="W"))+SUMPRODUCT((ALO3:ALO42=AHN14)*(ALQ3:ALQ42="W"))</f>
        <v>2</v>
      </c>
      <c r="AHP14" s="319">
        <f t="shared" ref="AHP14" ca="1" si="4510">SUMPRODUCT((ALL3:ALL42=AHN14)*(ALP3:ALP42="D"))+SUMPRODUCT((ALO3:ALO42=AHN14)*(ALQ3:ALQ42="D"))</f>
        <v>0</v>
      </c>
      <c r="AHQ14" s="319">
        <f t="shared" ref="AHQ14" ca="1" si="4511">SUMPRODUCT((ALL3:ALL42=AHN14)*(ALP3:ALP42="L"))+SUMPRODUCT((ALO3:ALO42=AHN14)*(ALQ3:ALQ42="L"))</f>
        <v>1</v>
      </c>
      <c r="AHR14" s="319">
        <f t="shared" ref="AHR14" ca="1" si="4512">SUMIF(ALL3:ALL60,AHN14,ALM3:ALM60)+SUMIF(ALO3:ALO60,AHN14,ALN3:ALN60)</f>
        <v>8</v>
      </c>
      <c r="AHS14" s="319">
        <f t="shared" ref="AHS14" ca="1" si="4513">SUMIF(ALO3:ALO60,AHN14,ALM3:ALM60)+SUMIF(ALL3:ALL60,AHN14,ALN3:ALN60)</f>
        <v>3</v>
      </c>
      <c r="AHT14" s="319">
        <f t="shared" ca="1" si="2873"/>
        <v>1005</v>
      </c>
      <c r="AHU14" s="319">
        <f t="shared" ca="1" si="2874"/>
        <v>6</v>
      </c>
      <c r="AHV14" s="319">
        <f t="shared" si="870"/>
        <v>40</v>
      </c>
      <c r="AHW14" s="319">
        <f t="shared" ref="AHW14" ca="1" si="4514">IF(COUNTIF(AHU11:AHU15,4)&lt;&gt;4,RANK(AHU14,AHU11:AHU15),AHU54)</f>
        <v>2</v>
      </c>
      <c r="AHX14" s="319"/>
      <c r="AHY14" s="319">
        <f t="shared" ref="AHY14" ca="1" si="4515">SUMPRODUCT((AHW11:AHW14=AHW14)*(AHV11:AHV14&lt;AHV14))+AHW14</f>
        <v>2</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1</v>
      </c>
      <c r="ALO14" s="319" t="str">
        <f t="shared" si="83"/>
        <v>Czechia</v>
      </c>
      <c r="ALP14" s="319" t="str">
        <f ca="1">IF(AND(OFFSET('Player Game Board'!P21,0,ALM1)&lt;&gt;"",OFFSET('Player Game Board'!Q21,0,ALM1)&lt;&gt;""),IF(ALM14&gt;ALN14,"W",IF(ALM14=ALN14,"D","L")),"")</f>
        <v>W</v>
      </c>
      <c r="ALQ14" s="319" t="str">
        <f t="shared" ca="1" si="84"/>
        <v>L</v>
      </c>
      <c r="ALR14" s="319"/>
      <c r="ALS14" s="319"/>
      <c r="ALT14" s="324" t="s">
        <v>101</v>
      </c>
      <c r="ALU14" s="325" t="s">
        <v>102</v>
      </c>
      <c r="ALV14" s="325" t="s">
        <v>103</v>
      </c>
      <c r="ALW14" s="325" t="s">
        <v>105</v>
      </c>
      <c r="ALX14" s="324" t="s">
        <v>101</v>
      </c>
      <c r="ALY14" s="324" t="s">
        <v>105</v>
      </c>
      <c r="ALZ14" s="324" t="s">
        <v>102</v>
      </c>
      <c r="AMA14" s="324" t="s">
        <v>103</v>
      </c>
      <c r="AMB14" s="325"/>
      <c r="AMC14" s="326">
        <f t="shared" ref="AMC14" ca="1" si="4584">IFERROR(MATCH(AMC12,ALT14:ALW14,0),0)</f>
        <v>2</v>
      </c>
      <c r="AMD14" s="326">
        <f t="shared" ref="AMD14" ca="1" si="4585">IFERROR(MATCH(AMD12,ALT14:ALW14,0),0)</f>
        <v>3</v>
      </c>
      <c r="AME14" s="326">
        <f t="shared" ref="AME14" ca="1" si="4586">IFERROR(MATCH(AME12,ALT14:ALW14,0),0)</f>
        <v>0</v>
      </c>
      <c r="AMF14" s="326">
        <f t="shared" ref="AMF14" ca="1" si="4587">IFERROR(MATCH(AMF12,ALT14:ALW14,0),0)</f>
        <v>4</v>
      </c>
      <c r="AMG14" s="326">
        <f t="shared" ca="1" si="3896"/>
        <v>9</v>
      </c>
      <c r="AMH14" s="325"/>
      <c r="AMI14" s="325" t="str">
        <f t="shared" ref="AMI14" ca="1" si="4588">INDEX(ALT3:ALT8,MATCH(2,AMG3:AMG8,0),0)</f>
        <v>Serbia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101</v>
      </c>
      <c r="AQS14" s="325" t="s">
        <v>102</v>
      </c>
      <c r="AQT14" s="325" t="s">
        <v>103</v>
      </c>
      <c r="AQU14" s="325" t="s">
        <v>105</v>
      </c>
      <c r="AQV14" s="324" t="s">
        <v>101</v>
      </c>
      <c r="AQW14" s="324" t="s">
        <v>105</v>
      </c>
      <c r="AQX14" s="324" t="s">
        <v>102</v>
      </c>
      <c r="AQY14" s="324" t="s">
        <v>103</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101</v>
      </c>
      <c r="AVQ14" s="325" t="s">
        <v>102</v>
      </c>
      <c r="AVR14" s="325" t="s">
        <v>103</v>
      </c>
      <c r="AVS14" s="325" t="s">
        <v>105</v>
      </c>
      <c r="AVT14" s="324" t="s">
        <v>101</v>
      </c>
      <c r="AVU14" s="324" t="s">
        <v>105</v>
      </c>
      <c r="AVV14" s="324" t="s">
        <v>102</v>
      </c>
      <c r="AVW14" s="324" t="s">
        <v>103</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101</v>
      </c>
      <c r="BAO14" s="325" t="s">
        <v>102</v>
      </c>
      <c r="BAP14" s="325" t="s">
        <v>103</v>
      </c>
      <c r="BAQ14" s="325" t="s">
        <v>105</v>
      </c>
      <c r="BAR14" s="324" t="s">
        <v>101</v>
      </c>
      <c r="BAS14" s="324" t="s">
        <v>105</v>
      </c>
      <c r="BAT14" s="324" t="s">
        <v>102</v>
      </c>
      <c r="BAU14" s="324" t="s">
        <v>103</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101</v>
      </c>
      <c r="BFM14" s="325" t="s">
        <v>102</v>
      </c>
      <c r="BFN14" s="325" t="s">
        <v>103</v>
      </c>
      <c r="BFO14" s="325" t="s">
        <v>105</v>
      </c>
      <c r="BFP14" s="324" t="s">
        <v>101</v>
      </c>
      <c r="BFQ14" s="324" t="s">
        <v>105</v>
      </c>
      <c r="BFR14" s="324" t="s">
        <v>102</v>
      </c>
      <c r="BFS14" s="324" t="s">
        <v>103</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101</v>
      </c>
      <c r="DI15" s="325" t="s">
        <v>102</v>
      </c>
      <c r="DJ15" s="325" t="s">
        <v>103</v>
      </c>
      <c r="DK15" s="325" t="s">
        <v>106</v>
      </c>
      <c r="DL15" s="324" t="s">
        <v>101</v>
      </c>
      <c r="DM15" s="324" t="s">
        <v>106</v>
      </c>
      <c r="DN15" s="324" t="s">
        <v>102</v>
      </c>
      <c r="DO15" s="324" t="s">
        <v>103</v>
      </c>
      <c r="DP15" s="325"/>
      <c r="DQ15" s="326">
        <f>IFERROR(MATCH(DQ12,DH15:DK15,0),0)</f>
        <v>0</v>
      </c>
      <c r="DR15" s="326">
        <f>IFERROR(MATCH(DR12,DH15:DK15,0),0)</f>
        <v>0</v>
      </c>
      <c r="DS15" s="326">
        <f>IFERROR(MATCH(DS12,DH15:DK15,0),0)</f>
        <v>3</v>
      </c>
      <c r="DT15" s="326">
        <f>IFERROR(MATCH(DT12,DH15:DK15,0),0)</f>
        <v>2</v>
      </c>
      <c r="DU15" s="326">
        <f t="shared" si="3541"/>
        <v>5</v>
      </c>
      <c r="DV15" s="325"/>
      <c r="DW15" s="325" t="str">
        <f>INDEX(DH3:DH8,MATCH(3,DU3:DU8,0),0)</f>
        <v>Slovenia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2</v>
      </c>
      <c r="IA15" s="319" t="str">
        <f t="shared" si="165"/>
        <v>Switzerland</v>
      </c>
      <c r="IB15" s="319" t="str">
        <f ca="1">IF(AND(OFFSET('Player Game Board'!P22,0,HY1)&lt;&gt;"",OFFSET('Player Game Board'!Q22,0,HY1)&lt;&gt;""),IF(HY15&gt;HZ15,"W",IF(HY15=HZ15,"D","L")),"")</f>
        <v>D</v>
      </c>
      <c r="IC15" s="319" t="str">
        <f t="shared" ca="1" si="166"/>
        <v>D</v>
      </c>
      <c r="ID15" s="319"/>
      <c r="IE15" s="319"/>
      <c r="IF15" s="324" t="s">
        <v>101</v>
      </c>
      <c r="IG15" s="325" t="s">
        <v>102</v>
      </c>
      <c r="IH15" s="325" t="s">
        <v>103</v>
      </c>
      <c r="II15" s="325" t="s">
        <v>106</v>
      </c>
      <c r="IJ15" s="324" t="s">
        <v>101</v>
      </c>
      <c r="IK15" s="324" t="s">
        <v>106</v>
      </c>
      <c r="IL15" s="324" t="s">
        <v>102</v>
      </c>
      <c r="IM15" s="324" t="s">
        <v>103</v>
      </c>
      <c r="IN15" s="325"/>
      <c r="IO15" s="326">
        <f ca="1">IFERROR(MATCH(IO12,IF15:II15,0),0)</f>
        <v>1</v>
      </c>
      <c r="IP15" s="326">
        <f ca="1">IFERROR(MATCH(IP12,IF15:II15,0),0)</f>
        <v>0</v>
      </c>
      <c r="IQ15" s="326">
        <f ca="1">IFERROR(MATCH(IQ12,IF15:II15,0),0)</f>
        <v>4</v>
      </c>
      <c r="IR15" s="326">
        <f ca="1">IFERROR(MATCH(IR12,IF15:II15,0),0)</f>
        <v>2</v>
      </c>
      <c r="IS15" s="326">
        <f t="shared" ca="1" si="3544"/>
        <v>7</v>
      </c>
      <c r="IT15" s="325"/>
      <c r="IU15" s="325" t="str">
        <f ca="1">INDEX(IF3:IF8,MATCH(3,IS3:IS8,0),0)</f>
        <v>Czechia</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0</v>
      </c>
      <c r="MY15" s="319" t="str">
        <f t="shared" si="171"/>
        <v>Switzerland</v>
      </c>
      <c r="MZ15" s="319" t="str">
        <f ca="1">IF(AND(OFFSET('Player Game Board'!P22,0,MW1)&lt;&gt;"",OFFSET('Player Game Board'!Q22,0,MW1)&lt;&gt;""),IF(MW15&gt;MX15,"W",IF(MW15=MX15,"D","L")),"")</f>
        <v>W</v>
      </c>
      <c r="NA15" s="319" t="str">
        <f t="shared" ca="1" si="172"/>
        <v>L</v>
      </c>
      <c r="NB15" s="319"/>
      <c r="NC15" s="319"/>
      <c r="ND15" s="324" t="s">
        <v>101</v>
      </c>
      <c r="NE15" s="325" t="s">
        <v>102</v>
      </c>
      <c r="NF15" s="325" t="s">
        <v>103</v>
      </c>
      <c r="NG15" s="325" t="s">
        <v>106</v>
      </c>
      <c r="NH15" s="324" t="s">
        <v>101</v>
      </c>
      <c r="NI15" s="324" t="s">
        <v>106</v>
      </c>
      <c r="NJ15" s="324" t="s">
        <v>102</v>
      </c>
      <c r="NK15" s="324" t="s">
        <v>103</v>
      </c>
      <c r="NL15" s="325"/>
      <c r="NM15" s="326">
        <f ca="1">IFERROR(MATCH(NM12,ND15:NG15,0),0)</f>
        <v>2</v>
      </c>
      <c r="NN15" s="326">
        <f ca="1">IFERROR(MATCH(NN12,ND15:NG15,0),0)</f>
        <v>1</v>
      </c>
      <c r="NO15" s="326">
        <f ca="1">IFERROR(MATCH(NO12,ND15:NG15,0),0)</f>
        <v>4</v>
      </c>
      <c r="NP15" s="326">
        <f ca="1">IFERROR(MATCH(NP12,ND15:NG15,0),0)</f>
        <v>0</v>
      </c>
      <c r="NQ15" s="326">
        <f t="shared" ca="1" si="3547"/>
        <v>7</v>
      </c>
      <c r="NR15" s="325"/>
      <c r="NS15" s="325" t="str">
        <f ca="1">INDEX(ND3:ND8,MATCH(3,NQ3:NQ8,0),0)</f>
        <v>Türkiye</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D</v>
      </c>
      <c r="RY15" s="319" t="str">
        <f t="shared" ca="1" si="20"/>
        <v>D</v>
      </c>
      <c r="RZ15" s="319"/>
      <c r="SA15" s="319"/>
      <c r="SB15" s="324" t="s">
        <v>101</v>
      </c>
      <c r="SC15" s="325" t="s">
        <v>102</v>
      </c>
      <c r="SD15" s="325" t="s">
        <v>103</v>
      </c>
      <c r="SE15" s="325" t="s">
        <v>106</v>
      </c>
      <c r="SF15" s="324" t="s">
        <v>101</v>
      </c>
      <c r="SG15" s="324" t="s">
        <v>106</v>
      </c>
      <c r="SH15" s="324" t="s">
        <v>102</v>
      </c>
      <c r="SI15" s="324" t="s">
        <v>103</v>
      </c>
      <c r="SJ15" s="325"/>
      <c r="SK15" s="326">
        <f t="shared" ref="SK15" ca="1" si="4913">IFERROR(MATCH(SK12,SB15:SE15,0),0)</f>
        <v>3</v>
      </c>
      <c r="SL15" s="326">
        <f t="shared" ref="SL15" ca="1" si="4914">IFERROR(MATCH(SL12,SB15:SE15,0),0)</f>
        <v>2</v>
      </c>
      <c r="SM15" s="326">
        <f t="shared" ref="SM15" ca="1" si="4915">IFERROR(MATCH(SM12,SB15:SE15,0),0)</f>
        <v>4</v>
      </c>
      <c r="SN15" s="326">
        <f t="shared" ref="SN15" ca="1" si="4916">IFERROR(MATCH(SN12,SB15:SE15,0),0)</f>
        <v>0</v>
      </c>
      <c r="SO15" s="326">
        <f t="shared" ca="1" si="3616"/>
        <v>9</v>
      </c>
      <c r="SP15" s="325"/>
      <c r="SQ15" s="325" t="str">
        <f t="shared" ref="SQ15" ca="1" si="4917">INDEX(SB3:SB8,MATCH(3,SO3:SO8,0),0)</f>
        <v>Czechia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1</v>
      </c>
      <c r="WT15" s="322">
        <f ca="1">IF(OFFSET('Player Game Board'!Q22,0,WS1)&lt;&gt;"",OFFSET('Player Game Board'!Q22,0,WS1),0)</f>
        <v>2</v>
      </c>
      <c r="WU15" s="319" t="str">
        <f t="shared" si="35"/>
        <v>Switzerland</v>
      </c>
      <c r="WV15" s="319" t="str">
        <f ca="1">IF(AND(OFFSET('Player Game Board'!P22,0,WS1)&lt;&gt;"",OFFSET('Player Game Board'!Q22,0,WS1)&lt;&gt;""),IF(WS15&gt;WT15,"W",IF(WS15=WT15,"D","L")),"")</f>
        <v>L</v>
      </c>
      <c r="WW15" s="319" t="str">
        <f t="shared" ca="1" si="36"/>
        <v>W</v>
      </c>
      <c r="WX15" s="319"/>
      <c r="WY15" s="319"/>
      <c r="WZ15" s="324" t="s">
        <v>101</v>
      </c>
      <c r="XA15" s="325" t="s">
        <v>102</v>
      </c>
      <c r="XB15" s="325" t="s">
        <v>103</v>
      </c>
      <c r="XC15" s="325" t="s">
        <v>106</v>
      </c>
      <c r="XD15" s="324" t="s">
        <v>101</v>
      </c>
      <c r="XE15" s="324" t="s">
        <v>106</v>
      </c>
      <c r="XF15" s="324" t="s">
        <v>102</v>
      </c>
      <c r="XG15" s="324" t="s">
        <v>103</v>
      </c>
      <c r="XH15" s="325"/>
      <c r="XI15" s="326">
        <f t="shared" ref="XI15" ca="1" si="4918">IFERROR(MATCH(XI12,WZ15:XC15,0),0)</f>
        <v>4</v>
      </c>
      <c r="XJ15" s="326">
        <f t="shared" ref="XJ15" ca="1" si="4919">IFERROR(MATCH(XJ12,WZ15:XC15,0),0)</f>
        <v>0</v>
      </c>
      <c r="XK15" s="326">
        <f t="shared" ref="XK15" ca="1" si="4920">IFERROR(MATCH(XK12,WZ15:XC15,0),0)</f>
        <v>2</v>
      </c>
      <c r="XL15" s="326">
        <f t="shared" ref="XL15" ca="1" si="4921">IFERROR(MATCH(XL12,WZ15:XC15,0),0)</f>
        <v>1</v>
      </c>
      <c r="XM15" s="326">
        <f t="shared" ca="1" si="3686"/>
        <v>7</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3</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W</v>
      </c>
      <c r="ABU15" s="319" t="str">
        <f t="shared" ca="1" si="52"/>
        <v>L</v>
      </c>
      <c r="ABV15" s="319"/>
      <c r="ABW15" s="319"/>
      <c r="ABX15" s="324" t="s">
        <v>101</v>
      </c>
      <c r="ABY15" s="325" t="s">
        <v>102</v>
      </c>
      <c r="ABZ15" s="325" t="s">
        <v>103</v>
      </c>
      <c r="ACA15" s="325" t="s">
        <v>106</v>
      </c>
      <c r="ACB15" s="324" t="s">
        <v>101</v>
      </c>
      <c r="ACC15" s="324" t="s">
        <v>106</v>
      </c>
      <c r="ACD15" s="324" t="s">
        <v>102</v>
      </c>
      <c r="ACE15" s="324" t="s">
        <v>103</v>
      </c>
      <c r="ACF15" s="325"/>
      <c r="ACG15" s="326">
        <f t="shared" ref="ACG15" ca="1" si="4923">IFERROR(MATCH(ACG12,ABX15:ACA15,0),0)</f>
        <v>3</v>
      </c>
      <c r="ACH15" s="326">
        <f t="shared" ref="ACH15" ca="1" si="4924">IFERROR(MATCH(ACH12,ABX15:ACA15,0),0)</f>
        <v>2</v>
      </c>
      <c r="ACI15" s="326">
        <f t="shared" ref="ACI15" ca="1" si="4925">IFERROR(MATCH(ACI12,ABX15:ACA15,0),0)</f>
        <v>0</v>
      </c>
      <c r="ACJ15" s="326">
        <f t="shared" ref="ACJ15" ca="1" si="4926">IFERROR(MATCH(ACJ12,ABX15:ACA15,0),0)</f>
        <v>1</v>
      </c>
      <c r="ACK15" s="326">
        <f t="shared" ca="1" si="3756"/>
        <v>6</v>
      </c>
      <c r="ACL15" s="325"/>
      <c r="ACM15" s="325" t="str">
        <f t="shared" ref="ACM15" ca="1" si="4927">INDEX(ABX3:ABX8,MATCH(3,ACK3:ACK8,0),0)</f>
        <v>Austria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1</v>
      </c>
      <c r="AGQ15" s="319" t="str">
        <f t="shared" si="67"/>
        <v>Switzerland</v>
      </c>
      <c r="AGR15" s="319" t="str">
        <f ca="1">IF(AND(OFFSET('Player Game Board'!P22,0,AGO1)&lt;&gt;"",OFFSET('Player Game Board'!Q22,0,AGO1)&lt;&gt;""),IF(AGO15&gt;AGP15,"W",IF(AGO15=AGP15,"D","L")),"")</f>
        <v>D</v>
      </c>
      <c r="AGS15" s="319" t="str">
        <f t="shared" ca="1" si="68"/>
        <v>D</v>
      </c>
      <c r="AGT15" s="319"/>
      <c r="AGU15" s="319"/>
      <c r="AGV15" s="324" t="s">
        <v>101</v>
      </c>
      <c r="AGW15" s="325" t="s">
        <v>102</v>
      </c>
      <c r="AGX15" s="325" t="s">
        <v>103</v>
      </c>
      <c r="AGY15" s="325" t="s">
        <v>106</v>
      </c>
      <c r="AGZ15" s="324" t="s">
        <v>101</v>
      </c>
      <c r="AHA15" s="324" t="s">
        <v>106</v>
      </c>
      <c r="AHB15" s="324" t="s">
        <v>102</v>
      </c>
      <c r="AHC15" s="324" t="s">
        <v>103</v>
      </c>
      <c r="AHD15" s="325"/>
      <c r="AHE15" s="326">
        <f t="shared" ref="AHE15" ca="1" si="4928">IFERROR(MATCH(AHE12,AGV15:AGY15,0),0)</f>
        <v>4</v>
      </c>
      <c r="AHF15" s="326">
        <f t="shared" ref="AHF15" ca="1" si="4929">IFERROR(MATCH(AHF12,AGV15:AGY15,0),0)</f>
        <v>1</v>
      </c>
      <c r="AHG15" s="326">
        <f t="shared" ref="AHG15" ca="1" si="4930">IFERROR(MATCH(AHG12,AGV15:AGY15,0),0)</f>
        <v>2</v>
      </c>
      <c r="AHH15" s="326">
        <f t="shared" ref="AHH15" ca="1" si="4931">IFERROR(MATCH(AHH12,AGV15:AGY15,0),0)</f>
        <v>3</v>
      </c>
      <c r="AHI15" s="326">
        <f t="shared" ca="1" si="3826"/>
        <v>10</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L</v>
      </c>
      <c r="ALQ15" s="319" t="str">
        <f t="shared" ca="1" si="84"/>
        <v>W</v>
      </c>
      <c r="ALR15" s="319"/>
      <c r="ALS15" s="319"/>
      <c r="ALT15" s="324" t="s">
        <v>101</v>
      </c>
      <c r="ALU15" s="325" t="s">
        <v>102</v>
      </c>
      <c r="ALV15" s="325" t="s">
        <v>103</v>
      </c>
      <c r="ALW15" s="325" t="s">
        <v>106</v>
      </c>
      <c r="ALX15" s="324" t="s">
        <v>101</v>
      </c>
      <c r="ALY15" s="324" t="s">
        <v>106</v>
      </c>
      <c r="ALZ15" s="324" t="s">
        <v>102</v>
      </c>
      <c r="AMA15" s="324" t="s">
        <v>103</v>
      </c>
      <c r="AMB15" s="325"/>
      <c r="AMC15" s="326">
        <f t="shared" ref="AMC15" ca="1" si="4933">IFERROR(MATCH(AMC12,ALT15:ALW15,0),0)</f>
        <v>2</v>
      </c>
      <c r="AMD15" s="326">
        <f t="shared" ref="AMD15" ca="1" si="4934">IFERROR(MATCH(AMD12,ALT15:ALW15,0),0)</f>
        <v>3</v>
      </c>
      <c r="AME15" s="326">
        <f t="shared" ref="AME15" ca="1" si="4935">IFERROR(MATCH(AME12,ALT15:ALW15,0),0)</f>
        <v>4</v>
      </c>
      <c r="AMF15" s="326">
        <f t="shared" ref="AMF15" ca="1" si="4936">IFERROR(MATCH(AMF12,ALT15:ALW15,0),0)</f>
        <v>0</v>
      </c>
      <c r="AMG15" s="326">
        <f t="shared" ca="1" si="3896"/>
        <v>9</v>
      </c>
      <c r="AMH15" s="325"/>
      <c r="AMI15" s="325" t="str">
        <f t="shared" ref="AMI15" ca="1" si="4937">INDEX(ALT3:ALT8,MATCH(3,AMG3:AMG8,0),0)</f>
        <v>Czechia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101</v>
      </c>
      <c r="AQS15" s="325" t="s">
        <v>102</v>
      </c>
      <c r="AQT15" s="325" t="s">
        <v>103</v>
      </c>
      <c r="AQU15" s="325" t="s">
        <v>106</v>
      </c>
      <c r="AQV15" s="324" t="s">
        <v>101</v>
      </c>
      <c r="AQW15" s="324" t="s">
        <v>106</v>
      </c>
      <c r="AQX15" s="324" t="s">
        <v>102</v>
      </c>
      <c r="AQY15" s="324" t="s">
        <v>103</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101</v>
      </c>
      <c r="AVQ15" s="325" t="s">
        <v>102</v>
      </c>
      <c r="AVR15" s="325" t="s">
        <v>103</v>
      </c>
      <c r="AVS15" s="325" t="s">
        <v>106</v>
      </c>
      <c r="AVT15" s="324" t="s">
        <v>101</v>
      </c>
      <c r="AVU15" s="324" t="s">
        <v>106</v>
      </c>
      <c r="AVV15" s="324" t="s">
        <v>102</v>
      </c>
      <c r="AVW15" s="324" t="s">
        <v>103</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101</v>
      </c>
      <c r="BAO15" s="325" t="s">
        <v>102</v>
      </c>
      <c r="BAP15" s="325" t="s">
        <v>103</v>
      </c>
      <c r="BAQ15" s="325" t="s">
        <v>106</v>
      </c>
      <c r="BAR15" s="324" t="s">
        <v>101</v>
      </c>
      <c r="BAS15" s="324" t="s">
        <v>106</v>
      </c>
      <c r="BAT15" s="324" t="s">
        <v>102</v>
      </c>
      <c r="BAU15" s="324" t="s">
        <v>103</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101</v>
      </c>
      <c r="BFM15" s="325" t="s">
        <v>102</v>
      </c>
      <c r="BFN15" s="325" t="s">
        <v>103</v>
      </c>
      <c r="BFO15" s="325" t="s">
        <v>106</v>
      </c>
      <c r="BFP15" s="324" t="s">
        <v>101</v>
      </c>
      <c r="BFQ15" s="324" t="s">
        <v>106</v>
      </c>
      <c r="BFR15" s="324" t="s">
        <v>102</v>
      </c>
      <c r="BFS15" s="324" t="s">
        <v>103</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357</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101</v>
      </c>
      <c r="DI16" s="325" t="s">
        <v>102</v>
      </c>
      <c r="DJ16" s="325" t="s">
        <v>104</v>
      </c>
      <c r="DK16" s="325" t="s">
        <v>105</v>
      </c>
      <c r="DL16" s="324" t="s">
        <v>104</v>
      </c>
      <c r="DM16" s="324" t="s">
        <v>105</v>
      </c>
      <c r="DN16" s="324" t="s">
        <v>101</v>
      </c>
      <c r="DO16" s="324" t="s">
        <v>102</v>
      </c>
      <c r="DP16" s="325"/>
      <c r="DQ16" s="326">
        <f>IFERROR(MATCH(DQ12,DH16:DK16,0),0)</f>
        <v>3</v>
      </c>
      <c r="DR16" s="326">
        <f>IFERROR(MATCH(DR12,DH16:DK16,0),0)</f>
        <v>4</v>
      </c>
      <c r="DS16" s="326">
        <f>IFERROR(MATCH(DS12,DH16:DK16,0),0)</f>
        <v>0</v>
      </c>
      <c r="DT16" s="326">
        <f>IFERROR(MATCH(DT12,DH16:DK16,0),0)</f>
        <v>2</v>
      </c>
      <c r="DU16" s="326">
        <f t="shared" si="3541"/>
        <v>9</v>
      </c>
      <c r="DV16" s="325"/>
      <c r="DW16" s="325" t="str">
        <f>INDEX(DH3:DH8,MATCH(4,DU3:DU8,0),0)</f>
        <v>Albania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101</v>
      </c>
      <c r="IG16" s="325" t="s">
        <v>102</v>
      </c>
      <c r="IH16" s="325" t="s">
        <v>104</v>
      </c>
      <c r="II16" s="325" t="s">
        <v>105</v>
      </c>
      <c r="IJ16" s="324" t="s">
        <v>104</v>
      </c>
      <c r="IK16" s="324" t="s">
        <v>105</v>
      </c>
      <c r="IL16" s="324" t="s">
        <v>101</v>
      </c>
      <c r="IM16" s="324" t="s">
        <v>102</v>
      </c>
      <c r="IN16" s="325"/>
      <c r="IO16" s="326">
        <f ca="1">IFERROR(MATCH(IO12,IF16:II16,0),0)</f>
        <v>1</v>
      </c>
      <c r="IP16" s="326">
        <f ca="1">IFERROR(MATCH(IP12,IF16:II16,0),0)</f>
        <v>3</v>
      </c>
      <c r="IQ16" s="326">
        <f ca="1">IFERROR(MATCH(IQ12,IF16:II16,0),0)</f>
        <v>0</v>
      </c>
      <c r="IR16" s="326">
        <f ca="1">IFERROR(MATCH(IR12,IF16:II16,0),0)</f>
        <v>2</v>
      </c>
      <c r="IS16" s="326">
        <f t="shared" ca="1" si="3544"/>
        <v>6</v>
      </c>
      <c r="IT16" s="325"/>
      <c r="IU16" s="325" t="str">
        <f ca="1">INDEX(IF3:IF8,MATCH(4,IS3:IS8,0),0)</f>
        <v>Croatia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1</v>
      </c>
      <c r="MX16" s="322">
        <f ca="1">IF(OFFSET('Player Game Board'!Q23,0,MW1)&lt;&gt;"",OFFSET('Player Game Board'!Q23,0,MW1),0)</f>
        <v>1</v>
      </c>
      <c r="MY16" s="319" t="str">
        <f t="shared" si="171"/>
        <v>Hungary</v>
      </c>
      <c r="MZ16" s="319" t="str">
        <f ca="1">IF(AND(OFFSET('Player Game Board'!P23,0,MW1)&lt;&gt;"",OFFSET('Player Game Board'!Q23,0,MW1)&lt;&gt;""),IF(MW16&gt;MX16,"W",IF(MW16=MX16,"D","L")),"")</f>
        <v>D</v>
      </c>
      <c r="NA16" s="319" t="str">
        <f t="shared" ca="1" si="172"/>
        <v>D</v>
      </c>
      <c r="NB16" s="319"/>
      <c r="NC16" s="319"/>
      <c r="ND16" s="324" t="s">
        <v>101</v>
      </c>
      <c r="NE16" s="325" t="s">
        <v>102</v>
      </c>
      <c r="NF16" s="325" t="s">
        <v>104</v>
      </c>
      <c r="NG16" s="325" t="s">
        <v>105</v>
      </c>
      <c r="NH16" s="324" t="s">
        <v>104</v>
      </c>
      <c r="NI16" s="324" t="s">
        <v>105</v>
      </c>
      <c r="NJ16" s="324" t="s">
        <v>101</v>
      </c>
      <c r="NK16" s="324" t="s">
        <v>102</v>
      </c>
      <c r="NL16" s="325"/>
      <c r="NM16" s="326">
        <f ca="1">IFERROR(MATCH(NM12,ND16:NG16,0),0)</f>
        <v>2</v>
      </c>
      <c r="NN16" s="326">
        <f ca="1">IFERROR(MATCH(NN12,ND16:NG16,0),0)</f>
        <v>1</v>
      </c>
      <c r="NO16" s="326">
        <f ca="1">IFERROR(MATCH(NO12,ND16:NG16,0),0)</f>
        <v>0</v>
      </c>
      <c r="NP16" s="326">
        <f ca="1">IFERROR(MATCH(NP12,ND16:NG16,0),0)</f>
        <v>4</v>
      </c>
      <c r="NQ16" s="326">
        <f t="shared" ca="1" si="3547"/>
        <v>7</v>
      </c>
      <c r="NR16" s="325"/>
      <c r="NS16" s="325" t="str">
        <f ca="1">INDEX(ND3:ND8,MATCH(4,NQ3:NQ8,0),0)</f>
        <v>Romania</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101</v>
      </c>
      <c r="SC16" s="325" t="s">
        <v>102</v>
      </c>
      <c r="SD16" s="325" t="s">
        <v>104</v>
      </c>
      <c r="SE16" s="325" t="s">
        <v>105</v>
      </c>
      <c r="SF16" s="324" t="s">
        <v>104</v>
      </c>
      <c r="SG16" s="324" t="s">
        <v>105</v>
      </c>
      <c r="SH16" s="324" t="s">
        <v>101</v>
      </c>
      <c r="SI16" s="324" t="s">
        <v>102</v>
      </c>
      <c r="SJ16" s="325"/>
      <c r="SK16" s="326">
        <f t="shared" ref="SK16" ca="1" si="4958">IFERROR(MATCH(SK12,SB16:SE16,0),0)</f>
        <v>0</v>
      </c>
      <c r="SL16" s="326">
        <f t="shared" ref="SL16" ca="1" si="4959">IFERROR(MATCH(SL12,SB16:SE16,0),0)</f>
        <v>2</v>
      </c>
      <c r="SM16" s="326">
        <f t="shared" ref="SM16" ca="1" si="4960">IFERROR(MATCH(SM12,SB16:SE16,0),0)</f>
        <v>0</v>
      </c>
      <c r="SN16" s="326">
        <f t="shared" ref="SN16" ca="1" si="4961">IFERROR(MATCH(SN12,SB16:SE16,0),0)</f>
        <v>4</v>
      </c>
      <c r="SO16" s="326">
        <f t="shared" ca="1" si="3616"/>
        <v>6</v>
      </c>
      <c r="SP16" s="325"/>
      <c r="SQ16" s="325" t="str">
        <f t="shared" ref="SQ16" ca="1" si="4962">INDEX(SB3:SB8,MATCH(4,SO3:SO8,0),0)</f>
        <v>Belgium</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3</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101</v>
      </c>
      <c r="XA16" s="325" t="s">
        <v>102</v>
      </c>
      <c r="XB16" s="325" t="s">
        <v>104</v>
      </c>
      <c r="XC16" s="325" t="s">
        <v>105</v>
      </c>
      <c r="XD16" s="324" t="s">
        <v>104</v>
      </c>
      <c r="XE16" s="324" t="s">
        <v>105</v>
      </c>
      <c r="XF16" s="324" t="s">
        <v>101</v>
      </c>
      <c r="XG16" s="324" t="s">
        <v>102</v>
      </c>
      <c r="XH16" s="325"/>
      <c r="XI16" s="326">
        <f t="shared" ref="XI16" ca="1" si="4963">IFERROR(MATCH(XI12,WZ16:XC16,0),0)</f>
        <v>0</v>
      </c>
      <c r="XJ16" s="326">
        <f t="shared" ref="XJ16" ca="1" si="4964">IFERROR(MATCH(XJ12,WZ16:XC16,0),0)</f>
        <v>4</v>
      </c>
      <c r="XK16" s="326">
        <f t="shared" ref="XK16" ca="1" si="4965">IFERROR(MATCH(XK12,WZ16:XC16,0),0)</f>
        <v>2</v>
      </c>
      <c r="XL16" s="326">
        <f t="shared" ref="XL16" ca="1" si="4966">IFERROR(MATCH(XL12,WZ16:XC16,0),0)</f>
        <v>1</v>
      </c>
      <c r="XM16" s="326">
        <f t="shared" ca="1" si="3686"/>
        <v>7</v>
      </c>
      <c r="XN16" s="325"/>
      <c r="XO16" s="325" t="str">
        <f t="shared" ref="XO16" ca="1" si="4967">INDEX(WZ3:WZ8,MATCH(4,XM3:XM8,0),0)</f>
        <v>Scotland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4</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101</v>
      </c>
      <c r="ABY16" s="325" t="s">
        <v>102</v>
      </c>
      <c r="ABZ16" s="325" t="s">
        <v>104</v>
      </c>
      <c r="ACA16" s="325" t="s">
        <v>105</v>
      </c>
      <c r="ACB16" s="324" t="s">
        <v>104</v>
      </c>
      <c r="ACC16" s="324" t="s">
        <v>105</v>
      </c>
      <c r="ACD16" s="324" t="s">
        <v>101</v>
      </c>
      <c r="ACE16" s="324" t="s">
        <v>102</v>
      </c>
      <c r="ACF16" s="325"/>
      <c r="ACG16" s="326">
        <f t="shared" ref="ACG16" ca="1" si="4968">IFERROR(MATCH(ACG12,ABX16:ACA16,0),0)</f>
        <v>0</v>
      </c>
      <c r="ACH16" s="326">
        <f t="shared" ref="ACH16" ca="1" si="4969">IFERROR(MATCH(ACH12,ABX16:ACA16,0),0)</f>
        <v>2</v>
      </c>
      <c r="ACI16" s="326">
        <f t="shared" ref="ACI16" ca="1" si="4970">IFERROR(MATCH(ACI12,ABX16:ACA16,0),0)</f>
        <v>3</v>
      </c>
      <c r="ACJ16" s="326">
        <f t="shared" ref="ACJ16" ca="1" si="4971">IFERROR(MATCH(ACJ12,ABX16:ACA16,0),0)</f>
        <v>1</v>
      </c>
      <c r="ACK16" s="326">
        <f t="shared" ca="1" si="3756"/>
        <v>6</v>
      </c>
      <c r="ACL16" s="325"/>
      <c r="ACM16" s="325" t="str">
        <f t="shared" ref="ACM16" ca="1" si="4972">INDEX(ABX3:ABX8,MATCH(4,ACK3:ACK8,0),0)</f>
        <v>Switzerland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2</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101</v>
      </c>
      <c r="AGW16" s="325" t="s">
        <v>102</v>
      </c>
      <c r="AGX16" s="325" t="s">
        <v>104</v>
      </c>
      <c r="AGY16" s="325" t="s">
        <v>105</v>
      </c>
      <c r="AGZ16" s="324" t="s">
        <v>104</v>
      </c>
      <c r="AHA16" s="324" t="s">
        <v>105</v>
      </c>
      <c r="AHB16" s="324" t="s">
        <v>101</v>
      </c>
      <c r="AHC16" s="324" t="s">
        <v>102</v>
      </c>
      <c r="AHD16" s="325"/>
      <c r="AHE16" s="326">
        <f t="shared" ref="AHE16" ca="1" si="4973">IFERROR(MATCH(AHE12,AGV16:AGY16,0),0)</f>
        <v>0</v>
      </c>
      <c r="AHF16" s="326">
        <f t="shared" ref="AHF16" ca="1" si="4974">IFERROR(MATCH(AHF12,AGV16:AGY16,0),0)</f>
        <v>1</v>
      </c>
      <c r="AHG16" s="326">
        <f t="shared" ref="AHG16" ca="1" si="4975">IFERROR(MATCH(AHG12,AGV16:AGY16,0),0)</f>
        <v>2</v>
      </c>
      <c r="AHH16" s="326">
        <f t="shared" ref="AHH16" ca="1" si="4976">IFERROR(MATCH(AHH12,AGV16:AGY16,0),0)</f>
        <v>0</v>
      </c>
      <c r="AHI16" s="326">
        <f t="shared" ca="1" si="3826"/>
        <v>3</v>
      </c>
      <c r="AHJ16" s="325"/>
      <c r="AHK16" s="325" t="str">
        <f t="shared" ref="AHK16" ca="1" si="4977">INDEX(AGV3:AGV8,MATCH(4,AHI3:AHI8,0),0)</f>
        <v>Serbia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0</v>
      </c>
      <c r="ALO16" s="319" t="str">
        <f t="shared" si="83"/>
        <v>Hungary</v>
      </c>
      <c r="ALP16" s="319" t="str">
        <f ca="1">IF(AND(OFFSET('Player Game Board'!P23,0,ALM1)&lt;&gt;"",OFFSET('Player Game Board'!Q23,0,ALM1)&lt;&gt;""),IF(ALM16&gt;ALN16,"W",IF(ALM16=ALN16,"D","L")),"")</f>
        <v>W</v>
      </c>
      <c r="ALQ16" s="319" t="str">
        <f t="shared" ca="1" si="84"/>
        <v>L</v>
      </c>
      <c r="ALR16" s="319"/>
      <c r="ALS16" s="319"/>
      <c r="ALT16" s="324" t="s">
        <v>101</v>
      </c>
      <c r="ALU16" s="325" t="s">
        <v>102</v>
      </c>
      <c r="ALV16" s="325" t="s">
        <v>104</v>
      </c>
      <c r="ALW16" s="325" t="s">
        <v>105</v>
      </c>
      <c r="ALX16" s="324" t="s">
        <v>104</v>
      </c>
      <c r="ALY16" s="324" t="s">
        <v>105</v>
      </c>
      <c r="ALZ16" s="324" t="s">
        <v>101</v>
      </c>
      <c r="AMA16" s="324" t="s">
        <v>102</v>
      </c>
      <c r="AMB16" s="325"/>
      <c r="AMC16" s="326">
        <f t="shared" ref="AMC16" ca="1" si="4978">IFERROR(MATCH(AMC12,ALT16:ALW16,0),0)</f>
        <v>2</v>
      </c>
      <c r="AMD16" s="326">
        <f t="shared" ref="AMD16" ca="1" si="4979">IFERROR(MATCH(AMD12,ALT16:ALW16,0),0)</f>
        <v>0</v>
      </c>
      <c r="AME16" s="326">
        <f t="shared" ref="AME16" ca="1" si="4980">IFERROR(MATCH(AME12,ALT16:ALW16,0),0)</f>
        <v>0</v>
      </c>
      <c r="AMF16" s="326">
        <f t="shared" ref="AMF16" ca="1" si="4981">IFERROR(MATCH(AMF12,ALT16:ALW16,0),0)</f>
        <v>4</v>
      </c>
      <c r="AMG16" s="326">
        <f t="shared" ca="1" si="3896"/>
        <v>6</v>
      </c>
      <c r="AMH16" s="325"/>
      <c r="AMI16" s="325" t="str">
        <f t="shared" ref="AMI16" ca="1" si="4982">INDEX(ALT3:ALT8,MATCH(4,AMG3:AMG8,0),0)</f>
        <v>Slovakia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101</v>
      </c>
      <c r="AQS16" s="325" t="s">
        <v>102</v>
      </c>
      <c r="AQT16" s="325" t="s">
        <v>104</v>
      </c>
      <c r="AQU16" s="325" t="s">
        <v>105</v>
      </c>
      <c r="AQV16" s="324" t="s">
        <v>104</v>
      </c>
      <c r="AQW16" s="324" t="s">
        <v>105</v>
      </c>
      <c r="AQX16" s="324" t="s">
        <v>101</v>
      </c>
      <c r="AQY16" s="324" t="s">
        <v>102</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101</v>
      </c>
      <c r="AVQ16" s="325" t="s">
        <v>102</v>
      </c>
      <c r="AVR16" s="325" t="s">
        <v>104</v>
      </c>
      <c r="AVS16" s="325" t="s">
        <v>105</v>
      </c>
      <c r="AVT16" s="324" t="s">
        <v>104</v>
      </c>
      <c r="AVU16" s="324" t="s">
        <v>105</v>
      </c>
      <c r="AVV16" s="324" t="s">
        <v>101</v>
      </c>
      <c r="AVW16" s="324" t="s">
        <v>102</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101</v>
      </c>
      <c r="BAO16" s="325" t="s">
        <v>102</v>
      </c>
      <c r="BAP16" s="325" t="s">
        <v>104</v>
      </c>
      <c r="BAQ16" s="325" t="s">
        <v>105</v>
      </c>
      <c r="BAR16" s="324" t="s">
        <v>104</v>
      </c>
      <c r="BAS16" s="324" t="s">
        <v>105</v>
      </c>
      <c r="BAT16" s="324" t="s">
        <v>101</v>
      </c>
      <c r="BAU16" s="324" t="s">
        <v>102</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101</v>
      </c>
      <c r="BFM16" s="325" t="s">
        <v>102</v>
      </c>
      <c r="BFN16" s="325" t="s">
        <v>104</v>
      </c>
      <c r="BFO16" s="325" t="s">
        <v>105</v>
      </c>
      <c r="BFP16" s="324" t="s">
        <v>104</v>
      </c>
      <c r="BFQ16" s="324" t="s">
        <v>105</v>
      </c>
      <c r="BFR16" s="324" t="s">
        <v>101</v>
      </c>
      <c r="BFS16" s="324" t="s">
        <v>102</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101</v>
      </c>
      <c r="DI17" s="325" t="s">
        <v>102</v>
      </c>
      <c r="DJ17" s="325" t="s">
        <v>104</v>
      </c>
      <c r="DK17" s="325" t="s">
        <v>106</v>
      </c>
      <c r="DL17" s="324" t="s">
        <v>104</v>
      </c>
      <c r="DM17" s="324" t="s">
        <v>106</v>
      </c>
      <c r="DN17" s="324" t="s">
        <v>101</v>
      </c>
      <c r="DO17" s="324" t="s">
        <v>102</v>
      </c>
      <c r="DP17" s="325"/>
      <c r="DQ17" s="326">
        <f>IFERROR(MATCH(DQ12,DH17:DK17,0),0)</f>
        <v>3</v>
      </c>
      <c r="DR17" s="326">
        <f>IFERROR(MATCH(DR12,DH17:DK17,0),0)</f>
        <v>0</v>
      </c>
      <c r="DS17" s="326">
        <f>IFERROR(MATCH(DS12,DH17:DK17,0),0)</f>
        <v>0</v>
      </c>
      <c r="DT17" s="326">
        <f>IFERROR(MATCH(DT12,DH17:DK17,0),0)</f>
        <v>2</v>
      </c>
      <c r="DU17" s="326">
        <f t="shared" si="3541"/>
        <v>5</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101</v>
      </c>
      <c r="IG17" s="325" t="s">
        <v>102</v>
      </c>
      <c r="IH17" s="325" t="s">
        <v>104</v>
      </c>
      <c r="II17" s="325" t="s">
        <v>106</v>
      </c>
      <c r="IJ17" s="324" t="s">
        <v>104</v>
      </c>
      <c r="IK17" s="324" t="s">
        <v>106</v>
      </c>
      <c r="IL17" s="324" t="s">
        <v>101</v>
      </c>
      <c r="IM17" s="324" t="s">
        <v>102</v>
      </c>
      <c r="IN17" s="325"/>
      <c r="IO17" s="326">
        <f ca="1">IFERROR(MATCH(IO12,IF17:II17,0),0)</f>
        <v>1</v>
      </c>
      <c r="IP17" s="326">
        <f ca="1">IFERROR(MATCH(IP12,IF17:II17,0),0)</f>
        <v>3</v>
      </c>
      <c r="IQ17" s="326">
        <f ca="1">IFERROR(MATCH(IQ12,IF17:II17,0),0)</f>
        <v>4</v>
      </c>
      <c r="IR17" s="326">
        <f ca="1">IFERROR(MATCH(IR12,IF17:II17,0),0)</f>
        <v>2</v>
      </c>
      <c r="IS17" s="326">
        <f t="shared" ca="1" si="3544"/>
        <v>10</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101</v>
      </c>
      <c r="NE17" s="325" t="s">
        <v>102</v>
      </c>
      <c r="NF17" s="325" t="s">
        <v>104</v>
      </c>
      <c r="NG17" s="325" t="s">
        <v>106</v>
      </c>
      <c r="NH17" s="324" t="s">
        <v>104</v>
      </c>
      <c r="NI17" s="324" t="s">
        <v>106</v>
      </c>
      <c r="NJ17" s="324" t="s">
        <v>101</v>
      </c>
      <c r="NK17" s="324" t="s">
        <v>102</v>
      </c>
      <c r="NL17" s="325"/>
      <c r="NM17" s="326">
        <f ca="1">IFERROR(MATCH(NM12,ND17:NG17,0),0)</f>
        <v>2</v>
      </c>
      <c r="NN17" s="326">
        <f ca="1">IFERROR(MATCH(NN12,ND17:NG17,0),0)</f>
        <v>1</v>
      </c>
      <c r="NO17" s="326">
        <f ca="1">IFERROR(MATCH(NO12,ND17:NG17,0),0)</f>
        <v>4</v>
      </c>
      <c r="NP17" s="326">
        <f ca="1">IFERROR(MATCH(NP12,ND17:NG17,0),0)</f>
        <v>0</v>
      </c>
      <c r="NQ17" s="326">
        <f t="shared" ca="1" si="3547"/>
        <v>7</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101</v>
      </c>
      <c r="SC17" s="325" t="s">
        <v>102</v>
      </c>
      <c r="SD17" s="325" t="s">
        <v>104</v>
      </c>
      <c r="SE17" s="325" t="s">
        <v>106</v>
      </c>
      <c r="SF17" s="324" t="s">
        <v>104</v>
      </c>
      <c r="SG17" s="324" t="s">
        <v>106</v>
      </c>
      <c r="SH17" s="324" t="s">
        <v>101</v>
      </c>
      <c r="SI17" s="324" t="s">
        <v>102</v>
      </c>
      <c r="SJ17" s="325"/>
      <c r="SK17" s="326">
        <f t="shared" ref="SK17" ca="1" si="5003">IFERROR(MATCH(SK12,SB17:SE17,0),0)</f>
        <v>0</v>
      </c>
      <c r="SL17" s="326">
        <f t="shared" ref="SL17" ca="1" si="5004">IFERROR(MATCH(SL12,SB17:SE17,0),0)</f>
        <v>2</v>
      </c>
      <c r="SM17" s="326">
        <f t="shared" ref="SM17" ca="1" si="5005">IFERROR(MATCH(SM12,SB17:SE17,0),0)</f>
        <v>4</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2</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101</v>
      </c>
      <c r="XA17" s="325" t="s">
        <v>102</v>
      </c>
      <c r="XB17" s="325" t="s">
        <v>104</v>
      </c>
      <c r="XC17" s="325" t="s">
        <v>106</v>
      </c>
      <c r="XD17" s="324" t="s">
        <v>104</v>
      </c>
      <c r="XE17" s="324" t="s">
        <v>106</v>
      </c>
      <c r="XF17" s="324" t="s">
        <v>101</v>
      </c>
      <c r="XG17" s="324" t="s">
        <v>102</v>
      </c>
      <c r="XH17" s="325"/>
      <c r="XI17" s="326">
        <f t="shared" ref="XI17" ca="1" si="5007">IFERROR(MATCH(XI12,WZ17:XC17,0),0)</f>
        <v>4</v>
      </c>
      <c r="XJ17" s="326">
        <f t="shared" ref="XJ17" ca="1" si="5008">IFERROR(MATCH(XJ12,WZ17:XC17,0),0)</f>
        <v>0</v>
      </c>
      <c r="XK17" s="326">
        <f t="shared" ref="XK17" ca="1" si="5009">IFERROR(MATCH(XK12,WZ17:XC17,0),0)</f>
        <v>2</v>
      </c>
      <c r="XL17" s="326">
        <f t="shared" ref="XL17" ca="1" si="5010">IFERROR(MATCH(XL12,WZ17:XC17,0),0)</f>
        <v>1</v>
      </c>
      <c r="XM17" s="326">
        <f t="shared" ca="1" si="3686"/>
        <v>7</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2</v>
      </c>
      <c r="ABR17" s="322">
        <f ca="1">IF(OFFSET('Player Game Board'!Q24,0,ABQ1)&lt;&gt;"",OFFSET('Player Game Board'!Q24,0,ABQ1),0)</f>
        <v>0</v>
      </c>
      <c r="ABS17" s="319" t="str">
        <f t="shared" si="51"/>
        <v>Albania</v>
      </c>
      <c r="ABT17" s="319" t="str">
        <f ca="1">IF(AND(OFFSET('Player Game Board'!P24,0,ABQ1)&lt;&gt;"",OFFSET('Player Game Board'!Q24,0,ABQ1)&lt;&gt;""),IF(ABQ17&gt;ABR17,"W",IF(ABQ17=ABR17,"D","L")),"")</f>
        <v>W</v>
      </c>
      <c r="ABU17" s="319" t="str">
        <f t="shared" ca="1" si="52"/>
        <v>L</v>
      </c>
      <c r="ABV17" s="319"/>
      <c r="ABW17" s="319"/>
      <c r="ABX17" s="324" t="s">
        <v>101</v>
      </c>
      <c r="ABY17" s="325" t="s">
        <v>102</v>
      </c>
      <c r="ABZ17" s="325" t="s">
        <v>104</v>
      </c>
      <c r="ACA17" s="325" t="s">
        <v>106</v>
      </c>
      <c r="ACB17" s="324" t="s">
        <v>104</v>
      </c>
      <c r="ACC17" s="324" t="s">
        <v>106</v>
      </c>
      <c r="ACD17" s="324" t="s">
        <v>101</v>
      </c>
      <c r="ACE17" s="324" t="s">
        <v>102</v>
      </c>
      <c r="ACF17" s="325"/>
      <c r="ACG17" s="326">
        <f t="shared" ref="ACG17" ca="1" si="5011">IFERROR(MATCH(ACG12,ABX17:ACA17,0),0)</f>
        <v>0</v>
      </c>
      <c r="ACH17" s="326">
        <f t="shared" ref="ACH17" ca="1" si="5012">IFERROR(MATCH(ACH12,ABX17:ACA17,0),0)</f>
        <v>2</v>
      </c>
      <c r="ACI17" s="326">
        <f t="shared" ref="ACI17" ca="1" si="5013">IFERROR(MATCH(ACI12,ABX17:ACA17,0),0)</f>
        <v>3</v>
      </c>
      <c r="ACJ17" s="326">
        <f t="shared" ref="ACJ17" ca="1" si="5014">IFERROR(MATCH(ACJ12,ABX17:ACA17,0),0)</f>
        <v>1</v>
      </c>
      <c r="ACK17" s="326">
        <f t="shared" ca="1" si="3756"/>
        <v>6</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2</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101</v>
      </c>
      <c r="AGW17" s="325" t="s">
        <v>102</v>
      </c>
      <c r="AGX17" s="325" t="s">
        <v>104</v>
      </c>
      <c r="AGY17" s="325" t="s">
        <v>106</v>
      </c>
      <c r="AGZ17" s="324" t="s">
        <v>104</v>
      </c>
      <c r="AHA17" s="324" t="s">
        <v>106</v>
      </c>
      <c r="AHB17" s="324" t="s">
        <v>101</v>
      </c>
      <c r="AHC17" s="324" t="s">
        <v>102</v>
      </c>
      <c r="AHD17" s="325"/>
      <c r="AHE17" s="326">
        <f t="shared" ref="AHE17" ca="1" si="5015">IFERROR(MATCH(AHE12,AGV17:AGY17,0),0)</f>
        <v>4</v>
      </c>
      <c r="AHF17" s="326">
        <f t="shared" ref="AHF17" ca="1" si="5016">IFERROR(MATCH(AHF12,AGV17:AGY17,0),0)</f>
        <v>1</v>
      </c>
      <c r="AHG17" s="326">
        <f t="shared" ref="AHG17" ca="1" si="5017">IFERROR(MATCH(AHG12,AGV17:AGY17,0),0)</f>
        <v>2</v>
      </c>
      <c r="AHH17" s="326">
        <f t="shared" ref="AHH17" ca="1" si="5018">IFERROR(MATCH(AHH12,AGV17:AGY17,0),0)</f>
        <v>0</v>
      </c>
      <c r="AHI17" s="326">
        <f t="shared" ca="1" si="3826"/>
        <v>7</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5</v>
      </c>
      <c r="ALN17" s="322">
        <f ca="1">IF(OFFSET('Player Game Board'!Q24,0,ALM1)&lt;&gt;"",OFFSET('Player Game Board'!Q24,0,ALM1),0)</f>
        <v>0</v>
      </c>
      <c r="ALO17" s="319" t="str">
        <f t="shared" si="83"/>
        <v>Albania</v>
      </c>
      <c r="ALP17" s="319" t="str">
        <f ca="1">IF(AND(OFFSET('Player Game Board'!P24,0,ALM1)&lt;&gt;"",OFFSET('Player Game Board'!Q24,0,ALM1)&lt;&gt;""),IF(ALM17&gt;ALN17,"W",IF(ALM17=ALN17,"D","L")),"")</f>
        <v>W</v>
      </c>
      <c r="ALQ17" s="319" t="str">
        <f t="shared" ca="1" si="84"/>
        <v>L</v>
      </c>
      <c r="ALR17" s="319"/>
      <c r="ALS17" s="319"/>
      <c r="ALT17" s="324" t="s">
        <v>101</v>
      </c>
      <c r="ALU17" s="325" t="s">
        <v>102</v>
      </c>
      <c r="ALV17" s="325" t="s">
        <v>104</v>
      </c>
      <c r="ALW17" s="325" t="s">
        <v>106</v>
      </c>
      <c r="ALX17" s="324" t="s">
        <v>104</v>
      </c>
      <c r="ALY17" s="324" t="s">
        <v>106</v>
      </c>
      <c r="ALZ17" s="324" t="s">
        <v>101</v>
      </c>
      <c r="AMA17" s="324" t="s">
        <v>102</v>
      </c>
      <c r="AMB17" s="325"/>
      <c r="AMC17" s="326">
        <f t="shared" ref="AMC17" ca="1" si="5019">IFERROR(MATCH(AMC12,ALT17:ALW17,0),0)</f>
        <v>2</v>
      </c>
      <c r="AMD17" s="326">
        <f t="shared" ref="AMD17" ca="1" si="5020">IFERROR(MATCH(AMD12,ALT17:ALW17,0),0)</f>
        <v>0</v>
      </c>
      <c r="AME17" s="326">
        <f t="shared" ref="AME17" ca="1" si="5021">IFERROR(MATCH(AME12,ALT17:ALW17,0),0)</f>
        <v>4</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101</v>
      </c>
      <c r="AQS17" s="325" t="s">
        <v>102</v>
      </c>
      <c r="AQT17" s="325" t="s">
        <v>104</v>
      </c>
      <c r="AQU17" s="325" t="s">
        <v>106</v>
      </c>
      <c r="AQV17" s="324" t="s">
        <v>104</v>
      </c>
      <c r="AQW17" s="324" t="s">
        <v>106</v>
      </c>
      <c r="AQX17" s="324" t="s">
        <v>101</v>
      </c>
      <c r="AQY17" s="324" t="s">
        <v>102</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101</v>
      </c>
      <c r="AVQ17" s="325" t="s">
        <v>102</v>
      </c>
      <c r="AVR17" s="325" t="s">
        <v>104</v>
      </c>
      <c r="AVS17" s="325" t="s">
        <v>106</v>
      </c>
      <c r="AVT17" s="324" t="s">
        <v>104</v>
      </c>
      <c r="AVU17" s="324" t="s">
        <v>106</v>
      </c>
      <c r="AVV17" s="324" t="s">
        <v>101</v>
      </c>
      <c r="AVW17" s="324" t="s">
        <v>102</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101</v>
      </c>
      <c r="BAO17" s="325" t="s">
        <v>102</v>
      </c>
      <c r="BAP17" s="325" t="s">
        <v>104</v>
      </c>
      <c r="BAQ17" s="325" t="s">
        <v>106</v>
      </c>
      <c r="BAR17" s="324" t="s">
        <v>104</v>
      </c>
      <c r="BAS17" s="324" t="s">
        <v>106</v>
      </c>
      <c r="BAT17" s="324" t="s">
        <v>101</v>
      </c>
      <c r="BAU17" s="324" t="s">
        <v>102</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101</v>
      </c>
      <c r="BFM17" s="325" t="s">
        <v>102</v>
      </c>
      <c r="BFN17" s="325" t="s">
        <v>104</v>
      </c>
      <c r="BFO17" s="325" t="s">
        <v>106</v>
      </c>
      <c r="BFP17" s="324" t="s">
        <v>104</v>
      </c>
      <c r="BFQ17" s="324" t="s">
        <v>106</v>
      </c>
      <c r="BFR17" s="324" t="s">
        <v>101</v>
      </c>
      <c r="BFS17" s="324" t="s">
        <v>102</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101</v>
      </c>
      <c r="DI18" s="325" t="s">
        <v>102</v>
      </c>
      <c r="DJ18" s="325" t="s">
        <v>105</v>
      </c>
      <c r="DK18" s="325" t="s">
        <v>106</v>
      </c>
      <c r="DL18" s="324" t="s">
        <v>105</v>
      </c>
      <c r="DM18" s="324" t="s">
        <v>106</v>
      </c>
      <c r="DN18" s="324" t="s">
        <v>102</v>
      </c>
      <c r="DO18" s="324" t="s">
        <v>101</v>
      </c>
      <c r="DP18" s="325"/>
      <c r="DQ18" s="326">
        <f>IFERROR(MATCH(DQ12,DH18:DK18,0),0)</f>
        <v>0</v>
      </c>
      <c r="DR18" s="326">
        <f>IFERROR(MATCH(DR12,DH18:DK18,0),0)</f>
        <v>3</v>
      </c>
      <c r="DS18" s="326">
        <f>IFERROR(MATCH(DS12,DH18:DK18,0),0)</f>
        <v>0</v>
      </c>
      <c r="DT18" s="326">
        <f>IFERROR(MATCH(DT12,DH18:DK18,0),0)</f>
        <v>2</v>
      </c>
      <c r="DU18" s="326">
        <f t="shared" si="3541"/>
        <v>5</v>
      </c>
      <c r="DV18" s="325" t="s">
        <v>358</v>
      </c>
      <c r="DW18" s="325" t="str">
        <f>INDEX(DH3:DH8,MATCH(INDEX(DL13:DL27,MATCH(10,DU13:DU27,0),0),DV3:DV8,0),0)</f>
        <v>Slovakia</v>
      </c>
      <c r="DX18" s="325"/>
      <c r="DY18" s="319">
        <f ca="1">VLOOKUP(DZ18,HU18:HV22,2,FALSE)</f>
        <v>4</v>
      </c>
      <c r="DZ18" s="319" t="str">
        <f>B18</f>
        <v>Serbia</v>
      </c>
      <c r="EA18" s="319">
        <f ca="1">SUMPRODUCT((HX3:HX42=DZ18)*(IB3:IB42="W"))+SUMPRODUCT((IA3:IA42=DZ18)*(IC3:IC42="W"))</f>
        <v>0</v>
      </c>
      <c r="EB18" s="319">
        <f ca="1">SUMPRODUCT((HX3:HX42=DZ18)*(IB3:IB42="D"))+SUMPRODUCT((IA3:IA42=DZ18)*(IC3:IC42="D"))</f>
        <v>1</v>
      </c>
      <c r="EC18" s="319">
        <f ca="1">SUMPRODUCT((HX3:HX42=DZ18)*(IB3:IB42="L"))+SUMPRODUCT((IA3:IA42=DZ18)*(IC3:IC42="L"))</f>
        <v>2</v>
      </c>
      <c r="ED18" s="319">
        <f ca="1">SUMIF(HX3:HX60,DZ18,HY3:HY60)+SUMIF(IA3:IA60,DZ18,HZ3:HZ60)</f>
        <v>2</v>
      </c>
      <c r="EE18" s="319">
        <f ca="1">SUMIF(IA3:IA60,DZ18,HY3:HY60)+SUMIF(HX3:HX60,DZ18,HZ3:HZ60)</f>
        <v>6</v>
      </c>
      <c r="EF18" s="319">
        <f t="shared" ref="EF18:EF21" ca="1" si="5043">ED18-EE18+1000</f>
        <v>996</v>
      </c>
      <c r="EG18" s="319">
        <f t="shared" ref="EG18:EG21" ca="1" si="5044">EA18*3+EB18*1</f>
        <v>1</v>
      </c>
      <c r="EH18" s="319">
        <f t="shared" si="609"/>
        <v>35</v>
      </c>
      <c r="EI18" s="319">
        <f ca="1">IF(COUNTIF(EG18:EG22,4)&lt;&gt;4,RANK(EG18,EG18:EG22),EG58)</f>
        <v>4</v>
      </c>
      <c r="EJ18" s="319"/>
      <c r="EK18" s="319">
        <f ca="1">SUMPRODUCT((EI18:EI21=EI18)*(EH18:EH21&lt;EH18))+EI18</f>
        <v>4</v>
      </c>
      <c r="EL18" s="319" t="str">
        <f ca="1">INDEX(DZ18:DZ22,MATCH(1,EK18:EK22,0),0)</f>
        <v>Denmark</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Denmark</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101</v>
      </c>
      <c r="IG18" s="325" t="s">
        <v>102</v>
      </c>
      <c r="IH18" s="325" t="s">
        <v>105</v>
      </c>
      <c r="II18" s="325" t="s">
        <v>106</v>
      </c>
      <c r="IJ18" s="324" t="s">
        <v>105</v>
      </c>
      <c r="IK18" s="324" t="s">
        <v>106</v>
      </c>
      <c r="IL18" s="324" t="s">
        <v>102</v>
      </c>
      <c r="IM18" s="324" t="s">
        <v>101</v>
      </c>
      <c r="IN18" s="325"/>
      <c r="IO18" s="326">
        <f ca="1">IFERROR(MATCH(IO12,IF18:II18,0),0)</f>
        <v>1</v>
      </c>
      <c r="IP18" s="326">
        <f ca="1">IFERROR(MATCH(IP12,IF18:II18,0),0)</f>
        <v>0</v>
      </c>
      <c r="IQ18" s="326">
        <f ca="1">IFERROR(MATCH(IQ12,IF18:II18,0),0)</f>
        <v>4</v>
      </c>
      <c r="IR18" s="326">
        <f ca="1">IFERROR(MATCH(IR12,IF18:II18,0),0)</f>
        <v>2</v>
      </c>
      <c r="IS18" s="326">
        <f t="shared" ca="1" si="3544"/>
        <v>7</v>
      </c>
      <c r="IT18" s="325" t="s">
        <v>358</v>
      </c>
      <c r="IU18" s="325" t="str">
        <f ca="1">INDEX(IF3:IF8,MATCH(INDEX(IJ13:IJ27,MATCH(10,IS13:IS27,0),0),IT3:IT8,0),0)</f>
        <v>Austria</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2</v>
      </c>
      <c r="JA18" s="319">
        <f ca="1">SUMPRODUCT((MV3:MV42=IX18)*(MZ3:MZ42="L"))+SUMPRODUCT((MY3:MY42=IX18)*(NA3:NA42="L"))</f>
        <v>1</v>
      </c>
      <c r="JB18" s="319">
        <f ca="1">SUMIF(MV3:MV60,IX18,MW3:MW60)+SUMIF(MY3:MY60,IX18,MX3:MX60)</f>
        <v>2</v>
      </c>
      <c r="JC18" s="319">
        <f ca="1">SUMIF(MY3:MY60,IX18,MW3:MW60)+SUMIF(MV3:MV60,IX18,MX3:MX60)</f>
        <v>3</v>
      </c>
      <c r="JD18" s="319">
        <f t="shared" ref="JD18:JD21" ca="1" si="5048">JB18-JC18+1000</f>
        <v>999</v>
      </c>
      <c r="JE18" s="319">
        <f t="shared" ref="JE18:JE21" ca="1" si="5049">IY18*3+IZ18*1</f>
        <v>2</v>
      </c>
      <c r="JF18" s="319">
        <f t="shared" si="618"/>
        <v>35</v>
      </c>
      <c r="JG18" s="319">
        <f ca="1">IF(COUNTIF(JE18:JE22,4)&lt;&gt;4,RANK(JE18,JE18:JE22),JE58)</f>
        <v>2</v>
      </c>
      <c r="JH18" s="319"/>
      <c r="JI18" s="319">
        <f ca="1">SUMPRODUCT((JG18:JG21=JG18)*(JF18:JF21&lt;JF18))+JG18</f>
        <v>2</v>
      </c>
      <c r="JJ18" s="319" t="str">
        <f ca="1">INDEX(IX18:IX22,MATCH(1,JI18:JI22,0),0)</f>
        <v>England</v>
      </c>
      <c r="JK18" s="319">
        <f ca="1">INDEX(JG18:JG22,MATCH(JJ18,IX18:IX22,0),0)</f>
        <v>1</v>
      </c>
      <c r="JL18" s="319" t="str">
        <f ca="1">IF(JK19=1,JJ18,"")</f>
        <v/>
      </c>
      <c r="JM18" s="319" t="str">
        <f ca="1">IF(JK20=2,JJ19,"")</f>
        <v>Serbia</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0</v>
      </c>
      <c r="MX18" s="322">
        <f ca="1">IF(OFFSET('Player Game Board'!Q25,0,MW1)&lt;&gt;"",OFFSET('Player Game Board'!Q25,0,MW1),0)</f>
        <v>0</v>
      </c>
      <c r="MY18" s="319" t="str">
        <f t="shared" si="171"/>
        <v>Italy</v>
      </c>
      <c r="MZ18" s="319" t="str">
        <f ca="1">IF(AND(OFFSET('Player Game Board'!P25,0,MW1)&lt;&gt;"",OFFSET('Player Game Board'!Q25,0,MW1)&lt;&gt;""),IF(MW18&gt;MX18,"W",IF(MW18=MX18,"D","L")),"")</f>
        <v>D</v>
      </c>
      <c r="NA18" s="319" t="str">
        <f t="shared" ca="1" si="172"/>
        <v>D</v>
      </c>
      <c r="NB18" s="319"/>
      <c r="NC18" s="319"/>
      <c r="ND18" s="324" t="s">
        <v>101</v>
      </c>
      <c r="NE18" s="325" t="s">
        <v>102</v>
      </c>
      <c r="NF18" s="325" t="s">
        <v>105</v>
      </c>
      <c r="NG18" s="325" t="s">
        <v>106</v>
      </c>
      <c r="NH18" s="324" t="s">
        <v>105</v>
      </c>
      <c r="NI18" s="324" t="s">
        <v>106</v>
      </c>
      <c r="NJ18" s="324" t="s">
        <v>102</v>
      </c>
      <c r="NK18" s="324" t="s">
        <v>101</v>
      </c>
      <c r="NL18" s="325"/>
      <c r="NM18" s="326">
        <f ca="1">IFERROR(MATCH(NM12,ND18:NG18,0),0)</f>
        <v>2</v>
      </c>
      <c r="NN18" s="326">
        <f ca="1">IFERROR(MATCH(NN12,ND18:NG18,0),0)</f>
        <v>1</v>
      </c>
      <c r="NO18" s="326">
        <f ca="1">IFERROR(MATCH(NO12,ND18:NG18,0),0)</f>
        <v>4</v>
      </c>
      <c r="NP18" s="326">
        <f ca="1">IFERROR(MATCH(NP12,ND18:NG18,0),0)</f>
        <v>3</v>
      </c>
      <c r="NQ18" s="326">
        <f t="shared" ca="1" si="3547"/>
        <v>10</v>
      </c>
      <c r="NR18" s="325" t="s">
        <v>358</v>
      </c>
      <c r="NS18" s="325" t="str">
        <f ca="1">INDEX(ND3:ND8,MATCH(INDEX(NH13:NH27,MATCH(10,NQ13:NQ27,0),0),NR3:NR8,0),0)</f>
        <v>Romania</v>
      </c>
      <c r="NT18" s="325">
        <f t="shared" ref="NT18:NT33" ca="1" si="5052">IFERROR(IF(MATCH(NS18,QualifiedCountries,0),1,0),0)</f>
        <v>1</v>
      </c>
      <c r="NU18" s="319">
        <f t="shared" ref="NU18" ca="1" si="5053">VLOOKUP(NV18,RQ18:RR22,2,FALSE)</f>
        <v>2</v>
      </c>
      <c r="NV18" s="319" t="str">
        <f t="shared" ref="NV18:NV21" si="5054">IX18</f>
        <v>Serbia</v>
      </c>
      <c r="NW18" s="319">
        <f t="shared" ref="NW18" ca="1" si="5055">SUMPRODUCT((RT3:RT42=NV18)*(RX3:RX42="W"))+SUMPRODUCT((RW3:RW42=NV18)*(RY3:RY42="W"))</f>
        <v>1</v>
      </c>
      <c r="NX18" s="319">
        <f t="shared" ref="NX18" ca="1" si="5056">SUMPRODUCT((RT3:RT42=NV18)*(RX3:RX42="D"))+SUMPRODUCT((RW3:RW42=NV18)*(RY3:RY42="D"))</f>
        <v>1</v>
      </c>
      <c r="NY18" s="319">
        <f t="shared" ref="NY18" ca="1" si="5057">SUMPRODUCT((RT3:RT42=NV18)*(RX3:RX42="L"))+SUMPRODUCT((RW3:RW42=NV18)*(RY3:RY42="L"))</f>
        <v>1</v>
      </c>
      <c r="NZ18" s="319">
        <f t="shared" ref="NZ18" ca="1" si="5058">SUMIF(RT3:RT60,NV18,RU3:RU60)+SUMIF(RW3:RW60,NV18,RV3:RV60)</f>
        <v>3</v>
      </c>
      <c r="OA18" s="319">
        <f t="shared" ref="OA18" ca="1" si="5059">SUMIF(RW3:RW60,NV18,RU3:RU60)+SUMIF(RT3:RT60,NV18,RV3:RV60)</f>
        <v>2</v>
      </c>
      <c r="OB18" s="319">
        <f t="shared" ref="OB18:OB21" ca="1" si="5060">NZ18-OA18+1000</f>
        <v>1001</v>
      </c>
      <c r="OC18" s="319">
        <f t="shared" ref="OC18:OC21" ca="1" si="5061">NW18*3+NX18*1</f>
        <v>4</v>
      </c>
      <c r="OD18" s="319">
        <f t="shared" si="630"/>
        <v>35</v>
      </c>
      <c r="OE18" s="319">
        <f t="shared" ref="OE18" ca="1" si="5062">IF(COUNTIF(OC18:OC22,4)&lt;&gt;4,RANK(OC18,OC18:OC22),OC58)</f>
        <v>2</v>
      </c>
      <c r="OF18" s="319"/>
      <c r="OG18" s="319">
        <f t="shared" ref="OG18" ca="1" si="5063">SUMPRODUCT((OE18:OE21=OE18)*(OD18:OD21&lt;OD18))+OE18</f>
        <v>2</v>
      </c>
      <c r="OH18" s="319" t="str">
        <f t="shared" ref="OH18" ca="1" si="5064">INDEX(NV18:NV22,MATCH(1,OG18:OG22,0),0)</f>
        <v>England</v>
      </c>
      <c r="OI18" s="319">
        <f t="shared" ref="OI18" ca="1" si="5065">INDEX(OE18:OE22,MATCH(OH18,NV18:NV22,0),0)</f>
        <v>1</v>
      </c>
      <c r="OJ18" s="319" t="str">
        <f t="shared" ref="OJ18" ca="1" si="5066">IF(OI19=1,OH18,"")</f>
        <v/>
      </c>
      <c r="OK18" s="319" t="str">
        <f t="shared" ref="OK18" ca="1" si="5067">IF(OI20=2,OH19,"")</f>
        <v>Serbia</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101</v>
      </c>
      <c r="SC18" s="325" t="s">
        <v>102</v>
      </c>
      <c r="SD18" s="325" t="s">
        <v>105</v>
      </c>
      <c r="SE18" s="325" t="s">
        <v>106</v>
      </c>
      <c r="SF18" s="324" t="s">
        <v>105</v>
      </c>
      <c r="SG18" s="324" t="s">
        <v>106</v>
      </c>
      <c r="SH18" s="324" t="s">
        <v>102</v>
      </c>
      <c r="SI18" s="324" t="s">
        <v>101</v>
      </c>
      <c r="SJ18" s="325"/>
      <c r="SK18" s="326">
        <f t="shared" ref="SK18" ca="1" si="5090">IFERROR(MATCH(SK12,SB18:SE18,0),0)</f>
        <v>0</v>
      </c>
      <c r="SL18" s="326">
        <f t="shared" ref="SL18" ca="1" si="5091">IFERROR(MATCH(SL12,SB18:SE18,0),0)</f>
        <v>2</v>
      </c>
      <c r="SM18" s="326">
        <f t="shared" ref="SM18" ca="1" si="5092">IFERROR(MATCH(SM12,SB18:SE18,0),0)</f>
        <v>4</v>
      </c>
      <c r="SN18" s="326">
        <f t="shared" ref="SN18" ca="1" si="5093">IFERROR(MATCH(SN12,SB18:SE18,0),0)</f>
        <v>3</v>
      </c>
      <c r="SO18" s="326">
        <f t="shared" ca="1" si="3616"/>
        <v>9</v>
      </c>
      <c r="SP18" s="325" t="s">
        <v>358</v>
      </c>
      <c r="SQ18" s="325" t="str">
        <f t="shared" ref="SQ18" ca="1" si="5094">INDEX(SB3:SB8,MATCH(INDEX(SF13:SF27,MATCH(10,SO13:SO27,0),0),SP3:SP8,0),0)</f>
        <v>Czechia</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1</v>
      </c>
      <c r="SW18" s="319">
        <f t="shared" ref="SW18" ca="1" si="5100">SUMPRODUCT((WR3:WR42=ST18)*(WV3:WV42="L"))+SUMPRODUCT((WU3:WU42=ST18)*(WW3:WW42="L"))</f>
        <v>2</v>
      </c>
      <c r="SX18" s="319">
        <f t="shared" ref="SX18" ca="1" si="5101">SUMIF(WR3:WR60,ST18,WS3:WS60)+SUMIF(WU3:WU60,ST18,WT3:WT60)</f>
        <v>0</v>
      </c>
      <c r="SY18" s="319">
        <f t="shared" ref="SY18" ca="1" si="5102">SUMIF(WU3:WU60,ST18,WS3:WS60)+SUMIF(WR3:WR60,ST18,WT3:WT60)</f>
        <v>3</v>
      </c>
      <c r="SZ18" s="319">
        <f t="shared" ref="SZ18:SZ21" ca="1" si="5103">SX18-SY18+1000</f>
        <v>997</v>
      </c>
      <c r="TA18" s="319">
        <f t="shared" ref="TA18:TA21" ca="1" si="5104">SU18*3+SV18*1</f>
        <v>1</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England</v>
      </c>
      <c r="TG18" s="319">
        <f t="shared" ref="TG18" ca="1" si="5108">INDEX(TC18:TC22,MATCH(TF18,ST18:ST22,0),0)</f>
        <v>1</v>
      </c>
      <c r="TH18" s="319" t="str">
        <f t="shared" ref="TH18" ca="1" si="5109">IF(TG19=1,TF18,"")</f>
        <v/>
      </c>
      <c r="TI18" s="319" t="str">
        <f t="shared" ref="TI18" ca="1" si="5110">IF(TG20=2,TF19,"")</f>
        <v/>
      </c>
      <c r="TJ18" s="319" t="str">
        <f t="shared" ref="TJ18" ca="1" si="5111">IF(TG21=3,TF20,"")</f>
        <v>Serbia</v>
      </c>
      <c r="TK18" s="319" t="str">
        <f t="shared" ref="TK18" si="5112">IF(TG22=4,TF21,"")</f>
        <v/>
      </c>
      <c r="TL18" s="319"/>
      <c r="TM18" s="319" t="str">
        <f t="shared" ref="TM18:TM21" ca="1" si="5113">IF(TH18&lt;&gt;"",TH18,"")</f>
        <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t="str">
        <f t="shared" ref="TT18:TT21" ca="1" si="5120">IF(TM18&lt;&gt;"",TN18*3+TO18*1,"")</f>
        <v/>
      </c>
      <c r="TU18" s="319" t="str">
        <f t="shared" ref="TU18" ca="1" si="5121">IF(TM18&lt;&gt;"",VLOOKUP(TM18,ST4:SZ40,7,FALSE),"")</f>
        <v/>
      </c>
      <c r="TV18" s="319" t="str">
        <f t="shared" ref="TV18" ca="1" si="5122">IF(TM18&lt;&gt;"",VLOOKUP(TM18,ST4:SZ40,5,FALSE),"")</f>
        <v/>
      </c>
      <c r="TW18" s="319" t="str">
        <f t="shared" ref="TW18" ca="1" si="5123">IF(TM18&lt;&gt;"",VLOOKUP(TM18,ST4:TB40,9,FALSE),"")</f>
        <v/>
      </c>
      <c r="TX18" s="319" t="str">
        <f t="shared" ref="TX18:TX21" ca="1" si="5124">TT18</f>
        <v/>
      </c>
      <c r="TY18" s="319" t="str">
        <f t="shared" ref="TY18" ca="1" si="5125">IF(TM18&lt;&gt;"",RANK(TX18,TX18:TX22),"")</f>
        <v/>
      </c>
      <c r="TZ18" s="319" t="str">
        <f t="shared" ref="TZ18" ca="1" si="5126">IF(TM18&lt;&gt;"",SUMPRODUCT((TX18:TX22=TX18)*(TS18:TS22&gt;TS18)),"")</f>
        <v/>
      </c>
      <c r="UA18" s="319" t="str">
        <f t="shared" ref="UA18" ca="1" si="5127">IF(TM18&lt;&gt;"",SUMPRODUCT((TX18:TX22=TX18)*(TS18:TS22=TS18)*(TQ18:TQ22&gt;TQ18)),"")</f>
        <v/>
      </c>
      <c r="UB18" s="319" t="str">
        <f t="shared" ref="UB18" ca="1" si="5128">IF(TM18&lt;&gt;"",SUMPRODUCT((TX18:TX22=TX18)*(TS18:TS22=TS18)*(TQ18:TQ22=TQ18)*(TU18:TU22&gt;TU18)),"")</f>
        <v/>
      </c>
      <c r="UC18" s="319" t="str">
        <f t="shared" ref="UC18" ca="1" si="5129">IF(TM18&lt;&gt;"",SUMPRODUCT((TX18:TX22=TX18)*(TS18:TS22=TS18)*(TQ18:TQ22=TQ18)*(TU18:TU22=TU18)*(TV18:TV22&gt;TV18)),"")</f>
        <v/>
      </c>
      <c r="UD18" s="319" t="str">
        <f t="shared" ref="UD18" ca="1" si="5130">IF(TM18&lt;&gt;"",SUMPRODUCT((TX18:TX22=TX18)*(TS18:TS22=TS18)*(TQ18:TQ22=TQ18)*(TU18:TU22=TU18)*(TV18:TV22=TV18)*(TW18:TW22&gt;TW18)),"")</f>
        <v/>
      </c>
      <c r="UE18" s="319" t="str">
        <f ca="1">IF(TM18&lt;&gt;"",IF(UE58&lt;&gt;"",IF(TL57=3,UE58,UE58+TL57),SUM(TY18:UD18)),"")</f>
        <v/>
      </c>
      <c r="UF18" s="319" t="str">
        <f t="shared" ref="UF18" ca="1" si="5131">IF(TM18&lt;&gt;"",INDEX(TM18:TM22,MATCH(1,UE18:UE22,0),0),"")</f>
        <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1</v>
      </c>
      <c r="WT18" s="322">
        <f ca="1">IF(OFFSET('Player Game Board'!Q25,0,WS1)&lt;&gt;"",OFFSET('Player Game Board'!Q25,0,WS1),0)</f>
        <v>1</v>
      </c>
      <c r="WU18" s="319" t="str">
        <f t="shared" si="35"/>
        <v>Italy</v>
      </c>
      <c r="WV18" s="319" t="str">
        <f ca="1">IF(AND(OFFSET('Player Game Board'!P25,0,WS1)&lt;&gt;"",OFFSET('Player Game Board'!Q25,0,WS1)&lt;&gt;""),IF(WS18&gt;WT18,"W",IF(WS18=WT18,"D","L")),"")</f>
        <v>D</v>
      </c>
      <c r="WW18" s="319" t="str">
        <f t="shared" ca="1" si="36"/>
        <v>D</v>
      </c>
      <c r="WX18" s="319"/>
      <c r="WY18" s="319"/>
      <c r="WZ18" s="324" t="s">
        <v>101</v>
      </c>
      <c r="XA18" s="325" t="s">
        <v>102</v>
      </c>
      <c r="XB18" s="325" t="s">
        <v>105</v>
      </c>
      <c r="XC18" s="325" t="s">
        <v>106</v>
      </c>
      <c r="XD18" s="324" t="s">
        <v>105</v>
      </c>
      <c r="XE18" s="324" t="s">
        <v>106</v>
      </c>
      <c r="XF18" s="324" t="s">
        <v>102</v>
      </c>
      <c r="XG18" s="324" t="s">
        <v>101</v>
      </c>
      <c r="XH18" s="325"/>
      <c r="XI18" s="326">
        <f t="shared" ref="XI18" ca="1" si="5133">IFERROR(MATCH(XI12,WZ18:XC18,0),0)</f>
        <v>4</v>
      </c>
      <c r="XJ18" s="326">
        <f t="shared" ref="XJ18" ca="1" si="5134">IFERROR(MATCH(XJ12,WZ18:XC18,0),0)</f>
        <v>3</v>
      </c>
      <c r="XK18" s="326">
        <f t="shared" ref="XK18" ca="1" si="5135">IFERROR(MATCH(XK12,WZ18:XC18,0),0)</f>
        <v>2</v>
      </c>
      <c r="XL18" s="326">
        <f t="shared" ref="XL18" ca="1" si="5136">IFERROR(MATCH(XL12,WZ18:XC18,0),0)</f>
        <v>1</v>
      </c>
      <c r="XM18" s="326">
        <f t="shared" ca="1" si="3686"/>
        <v>10</v>
      </c>
      <c r="XN18" s="325" t="s">
        <v>358</v>
      </c>
      <c r="XO18" s="325" t="str">
        <f t="shared" ref="XO18" ca="1" si="5137">INDEX(WZ3:WZ8,MATCH(INDEX(XD13:XD27,MATCH(10,XM13:XM27,0),0),XN3:XN8,0),0)</f>
        <v>Ukraine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1</v>
      </c>
      <c r="XT18" s="319">
        <f t="shared" ref="XT18" ca="1" si="5142">SUMPRODUCT((ABP3:ABP42=XR18)*(ABT3:ABT42="D"))+SUMPRODUCT((ABS3:ABS42=XR18)*(ABU3:ABU42="D"))</f>
        <v>1</v>
      </c>
      <c r="XU18" s="319">
        <f t="shared" ref="XU18" ca="1" si="5143">SUMPRODUCT((ABP3:ABP42=XR18)*(ABT3:ABT42="L"))+SUMPRODUCT((ABS3:ABS42=XR18)*(ABU3:ABU42="L"))</f>
        <v>1</v>
      </c>
      <c r="XV18" s="319">
        <f t="shared" ref="XV18" ca="1" si="5144">SUMIF(ABP3:ABP60,XR18,ABQ3:ABQ60)+SUMIF(ABS3:ABS60,XR18,ABR3:ABR60)</f>
        <v>5</v>
      </c>
      <c r="XW18" s="319">
        <f t="shared" ref="XW18" ca="1" si="5145">SUMIF(ABS3:ABS60,XR18,ABQ3:ABQ60)+SUMIF(ABP3:ABP60,XR18,ABR3:ABR60)</f>
        <v>4</v>
      </c>
      <c r="XX18" s="319">
        <f t="shared" ref="XX18:XX21" ca="1" si="5146">XV18-XW18+1000</f>
        <v>1001</v>
      </c>
      <c r="XY18" s="319">
        <f t="shared" ref="XY18:XY21" ca="1" si="5147">XS18*3+XT18*1</f>
        <v>4</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Denmark</v>
      </c>
      <c r="YE18" s="319">
        <f t="shared" ref="YE18" ca="1" si="5151">INDEX(YA18:YA22,MATCH(YD18,XR18:XR22,0),0)</f>
        <v>1</v>
      </c>
      <c r="YF18" s="319" t="str">
        <f t="shared" ref="YF18" ca="1" si="5152">IF(YE19=1,YD18,"")</f>
        <v/>
      </c>
      <c r="YG18" s="319" t="str">
        <f t="shared" ref="YG18" ca="1" si="5153">IF(YE20=2,YD19,"")</f>
        <v/>
      </c>
      <c r="YH18" s="319" t="str">
        <f t="shared" ref="YH18" ca="1" si="5154">IF(YE21=3,YD20,"")</f>
        <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Denmark</v>
      </c>
      <c r="ABN18" s="319">
        <v>1</v>
      </c>
      <c r="ABO18" s="319">
        <v>16</v>
      </c>
      <c r="ABP18" s="319" t="str">
        <f t="shared" si="50"/>
        <v>Spain</v>
      </c>
      <c r="ABQ18" s="322">
        <f ca="1">IF(OFFSET('Player Game Board'!P25,0,ABQ1)&lt;&gt;"",OFFSET('Player Game Board'!P25,0,ABQ1),0)</f>
        <v>1</v>
      </c>
      <c r="ABR18" s="322">
        <f ca="1">IF(OFFSET('Player Game Board'!Q25,0,ABQ1)&lt;&gt;"",OFFSET('Player Game Board'!Q25,0,ABQ1),0)</f>
        <v>2</v>
      </c>
      <c r="ABS18" s="319" t="str">
        <f t="shared" si="51"/>
        <v>Italy</v>
      </c>
      <c r="ABT18" s="319" t="str">
        <f ca="1">IF(AND(OFFSET('Player Game Board'!P25,0,ABQ1)&lt;&gt;"",OFFSET('Player Game Board'!Q25,0,ABQ1)&lt;&gt;""),IF(ABQ18&gt;ABR18,"W",IF(ABQ18=ABR18,"D","L")),"")</f>
        <v>L</v>
      </c>
      <c r="ABU18" s="319" t="str">
        <f t="shared" ca="1" si="52"/>
        <v>W</v>
      </c>
      <c r="ABV18" s="319"/>
      <c r="ABW18" s="319"/>
      <c r="ABX18" s="324" t="s">
        <v>101</v>
      </c>
      <c r="ABY18" s="325" t="s">
        <v>102</v>
      </c>
      <c r="ABZ18" s="325" t="s">
        <v>105</v>
      </c>
      <c r="ACA18" s="325" t="s">
        <v>106</v>
      </c>
      <c r="ACB18" s="324" t="s">
        <v>105</v>
      </c>
      <c r="ACC18" s="324" t="s">
        <v>106</v>
      </c>
      <c r="ACD18" s="324" t="s">
        <v>102</v>
      </c>
      <c r="ACE18" s="324" t="s">
        <v>101</v>
      </c>
      <c r="ACF18" s="325"/>
      <c r="ACG18" s="326">
        <f t="shared" ref="ACG18" ca="1" si="5176">IFERROR(MATCH(ACG12,ABX18:ACA18,0),0)</f>
        <v>0</v>
      </c>
      <c r="ACH18" s="326">
        <f t="shared" ref="ACH18" ca="1" si="5177">IFERROR(MATCH(ACH12,ABX18:ACA18,0),0)</f>
        <v>2</v>
      </c>
      <c r="ACI18" s="326">
        <f t="shared" ref="ACI18" ca="1" si="5178">IFERROR(MATCH(ACI12,ABX18:ACA18,0),0)</f>
        <v>0</v>
      </c>
      <c r="ACJ18" s="326">
        <f t="shared" ref="ACJ18" ca="1" si="5179">IFERROR(MATCH(ACJ12,ABX18:ACA18,0),0)</f>
        <v>1</v>
      </c>
      <c r="ACK18" s="326">
        <f t="shared" ca="1" si="3756"/>
        <v>3</v>
      </c>
      <c r="ACL18" s="325" t="s">
        <v>358</v>
      </c>
      <c r="ACM18" s="325" t="str">
        <f t="shared" ref="ACM18" ca="1" si="5180">INDEX(ABX3:ABX8,MATCH(INDEX(ACB13:ACB27,MATCH(10,ACK13:ACK27,0),0),ACL3:ACL8,0),0)</f>
        <v>Switzerland</v>
      </c>
      <c r="ACN18" s="325">
        <f t="shared" ref="ACN18:ACN33" ca="1" si="5181">IFERROR(IF(MATCH(ACM18,QualifiedCountries,0),1,0),0)</f>
        <v>1</v>
      </c>
      <c r="ACO18" s="319">
        <f t="shared" ref="ACO18" ca="1" si="5182">VLOOKUP(ACP18,AGK18:AGL22,2,FALSE)</f>
        <v>3</v>
      </c>
      <c r="ACP18" s="319" t="str">
        <f t="shared" ref="ACP18:ACP21" si="5183">XR18</f>
        <v>Serbia</v>
      </c>
      <c r="ACQ18" s="319">
        <f t="shared" ref="ACQ18" ca="1" si="5184">SUMPRODUCT((AGN3:AGN42=ACP18)*(AGR3:AGR42="W"))+SUMPRODUCT((AGQ3:AGQ42=ACP18)*(AGS3:AGS42="W"))</f>
        <v>1</v>
      </c>
      <c r="ACR18" s="319">
        <f t="shared" ref="ACR18" ca="1" si="5185">SUMPRODUCT((AGN3:AGN42=ACP18)*(AGR3:AGR42="D"))+SUMPRODUCT((AGQ3:AGQ42=ACP18)*(AGS3:AGS42="D"))</f>
        <v>0</v>
      </c>
      <c r="ACS18" s="319">
        <f t="shared" ref="ACS18" ca="1" si="5186">SUMPRODUCT((AGN3:AGN42=ACP18)*(AGR3:AGR42="L"))+SUMPRODUCT((AGQ3:AGQ42=ACP18)*(AGS3:AGS42="L"))</f>
        <v>2</v>
      </c>
      <c r="ACT18" s="319">
        <f t="shared" ref="ACT18" ca="1" si="5187">SUMIF(AGN3:AGN60,ACP18,AGO3:AGO60)+SUMIF(AGQ3:AGQ60,ACP18,AGP3:AGP60)</f>
        <v>4</v>
      </c>
      <c r="ACU18" s="319">
        <f t="shared" ref="ACU18" ca="1" si="5188">SUMIF(AGQ3:AGQ60,ACP18,AGO3:AGO60)+SUMIF(AGN3:AGN60,ACP18,AGP3:AGP60)</f>
        <v>6</v>
      </c>
      <c r="ACV18" s="319">
        <f t="shared" ref="ACV18:ACV21" ca="1" si="5189">ACT18-ACU18+1000</f>
        <v>998</v>
      </c>
      <c r="ACW18" s="319">
        <f t="shared" ref="ACW18:ACW21" ca="1" si="5190">ACQ18*3+ACR18*1</f>
        <v>3</v>
      </c>
      <c r="ACX18" s="319">
        <f t="shared" si="810"/>
        <v>35</v>
      </c>
      <c r="ACY18" s="319">
        <f t="shared" ref="ACY18" ca="1" si="5191">IF(COUNTIF(ACW18:ACW22,4)&lt;&gt;4,RANK(ACW18,ACW18:ACW22),ACW58)</f>
        <v>3</v>
      </c>
      <c r="ACZ18" s="319"/>
      <c r="ADA18" s="319">
        <f t="shared" ref="ADA18" ca="1" si="5192">SUMPRODUCT((ACY18:ACY21=ACY18)*(ACX18:ACX21&lt;ACX18))+ACY18</f>
        <v>3</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1</v>
      </c>
      <c r="AGP18" s="322">
        <f ca="1">IF(OFFSET('Player Game Board'!Q25,0,AGO1)&lt;&gt;"",OFFSET('Player Game Board'!Q25,0,AGO1),0)</f>
        <v>1</v>
      </c>
      <c r="AGQ18" s="319" t="str">
        <f t="shared" si="67"/>
        <v>Italy</v>
      </c>
      <c r="AGR18" s="319" t="str">
        <f ca="1">IF(AND(OFFSET('Player Game Board'!P25,0,AGO1)&lt;&gt;"",OFFSET('Player Game Board'!Q25,0,AGO1)&lt;&gt;""),IF(AGO18&gt;AGP18,"W",IF(AGO18=AGP18,"D","L")),"")</f>
        <v>D</v>
      </c>
      <c r="AGS18" s="319" t="str">
        <f t="shared" ca="1" si="68"/>
        <v>D</v>
      </c>
      <c r="AGT18" s="319"/>
      <c r="AGU18" s="319"/>
      <c r="AGV18" s="324" t="s">
        <v>101</v>
      </c>
      <c r="AGW18" s="325" t="s">
        <v>102</v>
      </c>
      <c r="AGX18" s="325" t="s">
        <v>105</v>
      </c>
      <c r="AGY18" s="325" t="s">
        <v>106</v>
      </c>
      <c r="AGZ18" s="324" t="s">
        <v>105</v>
      </c>
      <c r="AHA18" s="324" t="s">
        <v>106</v>
      </c>
      <c r="AHB18" s="324" t="s">
        <v>102</v>
      </c>
      <c r="AHC18" s="324" t="s">
        <v>101</v>
      </c>
      <c r="AHD18" s="325"/>
      <c r="AHE18" s="326">
        <f t="shared" ref="AHE18" ca="1" si="5219">IFERROR(MATCH(AHE12,AGV18:AGY18,0),0)</f>
        <v>4</v>
      </c>
      <c r="AHF18" s="326">
        <f t="shared" ref="AHF18" ca="1" si="5220">IFERROR(MATCH(AHF12,AGV18:AGY18,0),0)</f>
        <v>1</v>
      </c>
      <c r="AHG18" s="326">
        <f t="shared" ref="AHG18" ca="1" si="5221">IFERROR(MATCH(AHG12,AGV18:AGY18,0),0)</f>
        <v>2</v>
      </c>
      <c r="AHH18" s="326">
        <f t="shared" ref="AHH18" ca="1" si="5222">IFERROR(MATCH(AHH12,AGV18:AGY18,0),0)</f>
        <v>0</v>
      </c>
      <c r="AHI18" s="326">
        <f t="shared" ca="1" si="3826"/>
        <v>7</v>
      </c>
      <c r="AHJ18" s="325" t="s">
        <v>358</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3</v>
      </c>
      <c r="AHN18" s="319" t="str">
        <f t="shared" ref="AHN18:AHN21" si="5226">ACP18</f>
        <v>Serbia</v>
      </c>
      <c r="AHO18" s="319">
        <f t="shared" ref="AHO18" ca="1" si="5227">SUMPRODUCT((ALL3:ALL42=AHN18)*(ALP3:ALP42="W"))+SUMPRODUCT((ALO3:ALO42=AHN18)*(ALQ3:ALQ42="W"))</f>
        <v>1</v>
      </c>
      <c r="AHP18" s="319">
        <f t="shared" ref="AHP18" ca="1" si="5228">SUMPRODUCT((ALL3:ALL42=AHN18)*(ALP3:ALP42="D"))+SUMPRODUCT((ALO3:ALO42=AHN18)*(ALQ3:ALQ42="D"))</f>
        <v>1</v>
      </c>
      <c r="AHQ18" s="319">
        <f t="shared" ref="AHQ18" ca="1" si="5229">SUMPRODUCT((ALL3:ALL42=AHN18)*(ALP3:ALP42="L"))+SUMPRODUCT((ALO3:ALO42=AHN18)*(ALQ3:ALQ42="L"))</f>
        <v>1</v>
      </c>
      <c r="AHR18" s="319">
        <f t="shared" ref="AHR18" ca="1" si="5230">SUMIF(ALL3:ALL60,AHN18,ALM3:ALM60)+SUMIF(ALO3:ALO60,AHN18,ALN3:ALN60)</f>
        <v>4</v>
      </c>
      <c r="AHS18" s="319">
        <f t="shared" ref="AHS18" ca="1" si="5231">SUMIF(ALO3:ALO60,AHN18,ALM3:ALM60)+SUMIF(ALL3:ALL60,AHN18,ALN3:ALN60)</f>
        <v>4</v>
      </c>
      <c r="AHT18" s="319">
        <f t="shared" ref="AHT18:AHT21" ca="1" si="5232">AHR18-AHS18+1000</f>
        <v>1000</v>
      </c>
      <c r="AHU18" s="319">
        <f t="shared" ref="AHU18:AHU21" ca="1" si="5233">AHO18*3+AHP18*1</f>
        <v>4</v>
      </c>
      <c r="AHV18" s="319">
        <f t="shared" si="870"/>
        <v>35</v>
      </c>
      <c r="AHW18" s="319">
        <f t="shared" ref="AHW18" ca="1" si="5234">IF(COUNTIF(AHU18:AHU22,4)&lt;&gt;4,RANK(AHU18,AHU18:AHU22),AHU58)</f>
        <v>2</v>
      </c>
      <c r="AHX18" s="319"/>
      <c r="AHY18" s="319">
        <f t="shared" ref="AHY18" ca="1" si="5235">SUMPRODUCT((AHW18:AHW21=AHW18)*(AHV18:AHV21&lt;AHV18))+AHW18</f>
        <v>2</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Serbia</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1</v>
      </c>
      <c r="ALN18" s="322">
        <f ca="1">IF(OFFSET('Player Game Board'!Q25,0,ALM1)&lt;&gt;"",OFFSET('Player Game Board'!Q25,0,ALM1),0)</f>
        <v>1</v>
      </c>
      <c r="ALO18" s="319" t="str">
        <f t="shared" si="83"/>
        <v>Italy</v>
      </c>
      <c r="ALP18" s="319" t="str">
        <f ca="1">IF(AND(OFFSET('Player Game Board'!P25,0,ALM1)&lt;&gt;"",OFFSET('Player Game Board'!Q25,0,ALM1)&lt;&gt;""),IF(ALM18&gt;ALN18,"W",IF(ALM18=ALN18,"D","L")),"")</f>
        <v>D</v>
      </c>
      <c r="ALQ18" s="319" t="str">
        <f t="shared" ca="1" si="84"/>
        <v>D</v>
      </c>
      <c r="ALR18" s="319"/>
      <c r="ALS18" s="319"/>
      <c r="ALT18" s="324" t="s">
        <v>101</v>
      </c>
      <c r="ALU18" s="325" t="s">
        <v>102</v>
      </c>
      <c r="ALV18" s="325" t="s">
        <v>105</v>
      </c>
      <c r="ALW18" s="325" t="s">
        <v>106</v>
      </c>
      <c r="ALX18" s="324" t="s">
        <v>105</v>
      </c>
      <c r="ALY18" s="324" t="s">
        <v>106</v>
      </c>
      <c r="ALZ18" s="324" t="s">
        <v>102</v>
      </c>
      <c r="AMA18" s="324" t="s">
        <v>101</v>
      </c>
      <c r="AMB18" s="325"/>
      <c r="AMC18" s="326">
        <f t="shared" ref="AMC18" ca="1" si="5262">IFERROR(MATCH(AMC12,ALT18:ALW18,0),0)</f>
        <v>2</v>
      </c>
      <c r="AMD18" s="326">
        <f t="shared" ref="AMD18" ca="1" si="5263">IFERROR(MATCH(AMD12,ALT18:ALW18,0),0)</f>
        <v>0</v>
      </c>
      <c r="AME18" s="326">
        <f t="shared" ref="AME18" ca="1" si="5264">IFERROR(MATCH(AME12,ALT18:ALW18,0),0)</f>
        <v>4</v>
      </c>
      <c r="AMF18" s="326">
        <f t="shared" ref="AMF18" ca="1" si="5265">IFERROR(MATCH(AMF12,ALT18:ALW18,0),0)</f>
        <v>3</v>
      </c>
      <c r="AMG18" s="326">
        <f t="shared" ca="1" si="3896"/>
        <v>9</v>
      </c>
      <c r="AMH18" s="325" t="s">
        <v>358</v>
      </c>
      <c r="AMI18" s="325" t="str">
        <f t="shared" ref="AMI18" ca="1" si="5266">INDEX(ALT3:ALT8,MATCH(INDEX(ALX13:ALX27,MATCH(10,AMG13:AMG27,0),0),AMH3:AMH8,0),0)</f>
        <v>Czechia</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101</v>
      </c>
      <c r="AQS18" s="325" t="s">
        <v>102</v>
      </c>
      <c r="AQT18" s="325" t="s">
        <v>105</v>
      </c>
      <c r="AQU18" s="325" t="s">
        <v>106</v>
      </c>
      <c r="AQV18" s="324" t="s">
        <v>105</v>
      </c>
      <c r="AQW18" s="324" t="s">
        <v>106</v>
      </c>
      <c r="AQX18" s="324" t="s">
        <v>102</v>
      </c>
      <c r="AQY18" s="324" t="s">
        <v>101</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358</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101</v>
      </c>
      <c r="AVQ18" s="325" t="s">
        <v>102</v>
      </c>
      <c r="AVR18" s="325" t="s">
        <v>105</v>
      </c>
      <c r="AVS18" s="325" t="s">
        <v>106</v>
      </c>
      <c r="AVT18" s="324" t="s">
        <v>105</v>
      </c>
      <c r="AVU18" s="324" t="s">
        <v>106</v>
      </c>
      <c r="AVV18" s="324" t="s">
        <v>102</v>
      </c>
      <c r="AVW18" s="324" t="s">
        <v>101</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358</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101</v>
      </c>
      <c r="BAO18" s="325" t="s">
        <v>102</v>
      </c>
      <c r="BAP18" s="325" t="s">
        <v>105</v>
      </c>
      <c r="BAQ18" s="325" t="s">
        <v>106</v>
      </c>
      <c r="BAR18" s="324" t="s">
        <v>105</v>
      </c>
      <c r="BAS18" s="324" t="s">
        <v>106</v>
      </c>
      <c r="BAT18" s="324" t="s">
        <v>102</v>
      </c>
      <c r="BAU18" s="324" t="s">
        <v>101</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358</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101</v>
      </c>
      <c r="BFM18" s="325" t="s">
        <v>102</v>
      </c>
      <c r="BFN18" s="325" t="s">
        <v>105</v>
      </c>
      <c r="BFO18" s="325" t="s">
        <v>106</v>
      </c>
      <c r="BFP18" s="324" t="s">
        <v>105</v>
      </c>
      <c r="BFQ18" s="324" t="s">
        <v>106</v>
      </c>
      <c r="BFR18" s="324" t="s">
        <v>102</v>
      </c>
      <c r="BFS18" s="324" t="s">
        <v>101</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358</v>
      </c>
      <c r="BGA18" s="325" t="str">
        <f t="shared" ref="BGA18" ca="1" si="5438">INDEX(BFL3:BFL8,MATCH(INDEX(BFP13:BFP27,MATCH(10,BFY13:BFY27,0),0),BFZ3:BFZ8,0),0)</f>
        <v>Scotland</v>
      </c>
      <c r="BGB18" s="325">
        <f t="shared" ref="BGB18:BGB33" ca="1" si="5439">IFERROR(IF(MATCH(BGA18,QualifiedCountries,0),1,0),0)</f>
        <v>0</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101</v>
      </c>
      <c r="DI19" s="325" t="s">
        <v>103</v>
      </c>
      <c r="DJ19" s="325" t="s">
        <v>104</v>
      </c>
      <c r="DK19" s="325" t="s">
        <v>105</v>
      </c>
      <c r="DL19" s="324" t="s">
        <v>105</v>
      </c>
      <c r="DM19" s="324" t="s">
        <v>104</v>
      </c>
      <c r="DN19" s="324" t="s">
        <v>103</v>
      </c>
      <c r="DO19" s="324" t="s">
        <v>101</v>
      </c>
      <c r="DP19" s="325"/>
      <c r="DQ19" s="326">
        <f>IFERROR(MATCH(DQ12,DH19:DK19,0),0)</f>
        <v>3</v>
      </c>
      <c r="DR19" s="326">
        <f>IFERROR(MATCH(DR12,DH19:DK19,0),0)</f>
        <v>4</v>
      </c>
      <c r="DS19" s="326">
        <f>IFERROR(MATCH(DS12,DH19:DK19,0),0)</f>
        <v>2</v>
      </c>
      <c r="DT19" s="326">
        <f>IFERROR(MATCH(DT12,DH19:DK19,0),0)</f>
        <v>0</v>
      </c>
      <c r="DU19" s="326">
        <f t="shared" si="3541"/>
        <v>9</v>
      </c>
      <c r="DV19" s="325" t="s">
        <v>353</v>
      </c>
      <c r="DW19" s="325" t="str">
        <f>INDEX(DH3:DH8,MATCH(INDEX(DM13:DM27,MATCH(10,DU13:DU27,0),0),DV3:DV8,0),0)</f>
        <v>Austria</v>
      </c>
      <c r="DX19" s="325"/>
      <c r="DY19" s="319">
        <f ca="1">VLOOKUP(DZ19,HU18:HV22,2,FALSE)</f>
        <v>2</v>
      </c>
      <c r="DZ19" s="319" t="str">
        <f t="shared" ref="DZ19:DZ21" si="5443">B19</f>
        <v>England</v>
      </c>
      <c r="EA19" s="319">
        <f ca="1">SUMPRODUCT((HX3:HX42=DZ19)*(IB3:IB42="W"))+SUMPRODUCT((IA3:IA42=DZ19)*(IC3:IC42="W"))</f>
        <v>2</v>
      </c>
      <c r="EB19" s="319">
        <f ca="1">SUMPRODUCT((HX3:HX42=DZ19)*(IB3:IB42="D"))+SUMPRODUCT((IA3:IA42=DZ19)*(IC3:IC42="D"))</f>
        <v>0</v>
      </c>
      <c r="EC19" s="319">
        <f ca="1">SUMPRODUCT((HX3:HX42=DZ19)*(IB3:IB42="L"))+SUMPRODUCT((IA3:IA42=DZ19)*(IC3:IC42="L"))</f>
        <v>1</v>
      </c>
      <c r="ED19" s="319">
        <f ca="1">SUMIF(HX3:HX60,DZ19,HY3:HY60)+SUMIF(IA3:IA60,DZ19,HZ3:HZ60)</f>
        <v>7</v>
      </c>
      <c r="EE19" s="319">
        <f ca="1">SUMIF(IA3:IA60,DZ19,HY3:HY60)+SUMIF(HX3:HX60,DZ19,HZ3:HZ60)</f>
        <v>4</v>
      </c>
      <c r="EF19" s="319">
        <f t="shared" ca="1" si="5043"/>
        <v>1003</v>
      </c>
      <c r="EG19" s="319">
        <f t="shared" ca="1" si="5044"/>
        <v>6</v>
      </c>
      <c r="EH19" s="319">
        <f t="shared" si="609"/>
        <v>49</v>
      </c>
      <c r="EI19" s="319">
        <f ca="1">IF(COUNTIF(EG18:EG22,4)&lt;&gt;4,RANK(EG19,EG18:EG22),EG59)</f>
        <v>2</v>
      </c>
      <c r="EJ19" s="319"/>
      <c r="EK19" s="319">
        <f ca="1">SUMPRODUCT((EI18:EI21=EI19)*(EH18:EH21&lt;EH19))+EI19</f>
        <v>2</v>
      </c>
      <c r="EL19" s="319" t="str">
        <f ca="1">INDEX(DZ18:DZ22,MATCH(2,EK18:EK22,0),0)</f>
        <v>England</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England</v>
      </c>
      <c r="HV19" s="319">
        <v>2</v>
      </c>
      <c r="HW19" s="319">
        <v>17</v>
      </c>
      <c r="HX19" s="319" t="str">
        <f t="shared" si="164"/>
        <v>Denmark</v>
      </c>
      <c r="HY19" s="322">
        <f ca="1">IF(OFFSET('Player Game Board'!P26,0,HY1)&lt;&gt;"",OFFSET('Player Game Board'!P26,0,HY1),0)</f>
        <v>3</v>
      </c>
      <c r="HZ19" s="322">
        <f ca="1">IF(OFFSET('Player Game Board'!Q26,0,HY1)&lt;&gt;"",OFFSET('Player Game Board'!Q26,0,HY1),0)</f>
        <v>2</v>
      </c>
      <c r="IA19" s="319" t="str">
        <f t="shared" si="165"/>
        <v>England</v>
      </c>
      <c r="IB19" s="319" t="str">
        <f ca="1">IF(AND(OFFSET('Player Game Board'!P26,0,HY1)&lt;&gt;"",OFFSET('Player Game Board'!Q26,0,HY1)&lt;&gt;""),IF(HY19&gt;HZ19,"W",IF(HY19=HZ19,"D","L")),"")</f>
        <v>W</v>
      </c>
      <c r="IC19" s="319" t="str">
        <f t="shared" ca="1" si="166"/>
        <v>L</v>
      </c>
      <c r="ID19" s="319"/>
      <c r="IE19" s="319"/>
      <c r="IF19" s="324" t="s">
        <v>101</v>
      </c>
      <c r="IG19" s="325" t="s">
        <v>103</v>
      </c>
      <c r="IH19" s="325" t="s">
        <v>104</v>
      </c>
      <c r="II19" s="325" t="s">
        <v>105</v>
      </c>
      <c r="IJ19" s="324" t="s">
        <v>105</v>
      </c>
      <c r="IK19" s="324" t="s">
        <v>104</v>
      </c>
      <c r="IL19" s="324" t="s">
        <v>103</v>
      </c>
      <c r="IM19" s="324" t="s">
        <v>101</v>
      </c>
      <c r="IN19" s="325"/>
      <c r="IO19" s="326">
        <f ca="1">IFERROR(MATCH(IO12,IF19:II19,0),0)</f>
        <v>1</v>
      </c>
      <c r="IP19" s="326">
        <f ca="1">IFERROR(MATCH(IP12,IF19:II19,0),0)</f>
        <v>3</v>
      </c>
      <c r="IQ19" s="326">
        <f ca="1">IFERROR(MATCH(IQ12,IF19:II19,0),0)</f>
        <v>0</v>
      </c>
      <c r="IR19" s="326">
        <f ca="1">IFERROR(MATCH(IR12,IF19:II19,0),0)</f>
        <v>0</v>
      </c>
      <c r="IS19" s="326">
        <f t="shared" ca="1" si="3544"/>
        <v>4</v>
      </c>
      <c r="IT19" s="325" t="s">
        <v>353</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4</v>
      </c>
      <c r="JC19" s="319">
        <f ca="1">SUMIF(MY3:MY60,IX19,MW3:MW60)+SUMIF(MV3:MV60,IX19,MX3:MX60)</f>
        <v>1</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Serbia</v>
      </c>
      <c r="JK19" s="319">
        <f ca="1">INDEX(JG18:JG22,MATCH(JJ19,IX18:IX22,0),0)</f>
        <v>2</v>
      </c>
      <c r="JL19" s="319" t="str">
        <f ca="1">IF(JL18&lt;&gt;"",JJ19,"")</f>
        <v/>
      </c>
      <c r="JM19" s="319" t="str">
        <f ca="1">IF(JM18&lt;&gt;"",JJ20,"")</f>
        <v>Slovenia</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Serbia</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2</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19">
        <f ca="1">KO19-KP19+1000</f>
        <v>1000</v>
      </c>
      <c r="KR19" s="319">
        <f t="shared" ref="KR19:KR21" ca="1" si="5449">IF(KK19&lt;&gt;"",KL19*3+KM19*1,"")</f>
        <v>2</v>
      </c>
      <c r="KS19" s="319">
        <f ca="1">IF(KK19&lt;&gt;"",VLOOKUP(KK19,IX4:JD40,7,FALSE),"")</f>
        <v>999</v>
      </c>
      <c r="KT19" s="319">
        <f ca="1">IF(KK19&lt;&gt;"",VLOOKUP(KK19,IX4:JD40,5,FALSE),"")</f>
        <v>2</v>
      </c>
      <c r="KU19" s="319">
        <f ca="1">IF(KK19&lt;&gt;"",VLOOKUP(KK19,IX4:JF40,9,FALSE),"")</f>
        <v>35</v>
      </c>
      <c r="KV19" s="319">
        <f t="shared" ref="KV19:KV21" ca="1" si="5450">KR19</f>
        <v>2</v>
      </c>
      <c r="KW19" s="319">
        <f ca="1">IF(KK19&lt;&gt;"",RANK(KV19,KV18:KV22),"")</f>
        <v>1</v>
      </c>
      <c r="KX19" s="319">
        <f ca="1">IF(KK19&lt;&gt;"",SUMPRODUCT((KV18:KV22=KV19)*(KQ18:KQ22&gt;KQ19)),"")</f>
        <v>0</v>
      </c>
      <c r="KY19" s="319">
        <f ca="1">IF(KK19&lt;&gt;"",SUMPRODUCT((KV18:KV22=KV19)*(KQ18:KQ22=KQ19)*(KO18:KO22&gt;KO19)),"")</f>
        <v>0</v>
      </c>
      <c r="KZ19" s="319">
        <f ca="1">IF(KK19&lt;&gt;"",SUMPRODUCT((KV18:KV22=KV19)*(KQ18:KQ22=KQ19)*(KO18:KO22=KO19)*(KS18:KS22&gt;KS19)),"")</f>
        <v>0</v>
      </c>
      <c r="LA19" s="319">
        <f ca="1">IF(KK19&lt;&gt;"",SUMPRODUCT((KV18:KV22=KV19)*(KQ18:KQ22=KQ19)*(KO18:KO22=KO19)*(KS18:KS22=KS19)*(KT18:KT22&gt;KT19)),"")</f>
        <v>1</v>
      </c>
      <c r="LB19" s="319">
        <f ca="1">IF(KK19&lt;&gt;"",SUMPRODUCT((KV18:KV22=KV19)*(KQ18:KQ22=KQ19)*(KO18:KO22=KO19)*(KS18:KS22=KS19)*(KT18:KT22=KT19)*(KU18:KU22&gt;KU19)),"")</f>
        <v>1</v>
      </c>
      <c r="LC19" s="319">
        <f ca="1">IF(KK19&lt;&gt;"",IF(LC59&lt;&gt;"",IF(KJ57=3,LC59,LC59+KJ57),SUM(KW19:LB19)+1),"")</f>
        <v>4</v>
      </c>
      <c r="LD19" s="319" t="str">
        <f ca="1">IF(KK19&lt;&gt;"",INDEX(KK19:KK22,MATCH(2,LC19:LC22,0),0),"")</f>
        <v>Denmark</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101</v>
      </c>
      <c r="NE19" s="325" t="s">
        <v>103</v>
      </c>
      <c r="NF19" s="325" t="s">
        <v>104</v>
      </c>
      <c r="NG19" s="325" t="s">
        <v>105</v>
      </c>
      <c r="NH19" s="324" t="s">
        <v>105</v>
      </c>
      <c r="NI19" s="324" t="s">
        <v>104</v>
      </c>
      <c r="NJ19" s="324" t="s">
        <v>103</v>
      </c>
      <c r="NK19" s="324" t="s">
        <v>101</v>
      </c>
      <c r="NL19" s="325"/>
      <c r="NM19" s="326">
        <f ca="1">IFERROR(MATCH(NM12,ND19:NG19,0),0)</f>
        <v>0</v>
      </c>
      <c r="NN19" s="326">
        <f ca="1">IFERROR(MATCH(NN12,ND19:NG19,0),0)</f>
        <v>1</v>
      </c>
      <c r="NO19" s="326">
        <f ca="1">IFERROR(MATCH(NO12,ND19:NG19,0),0)</f>
        <v>0</v>
      </c>
      <c r="NP19" s="326">
        <f ca="1">IFERROR(MATCH(NP12,ND19:NG19,0),0)</f>
        <v>4</v>
      </c>
      <c r="NQ19" s="326">
        <f t="shared" ca="1" si="3547"/>
        <v>5</v>
      </c>
      <c r="NR19" s="325" t="s">
        <v>353</v>
      </c>
      <c r="NS19" s="325" t="str">
        <f ca="1">INDEX(ND3:ND8,MATCH(INDEX(NI13:NI27,MATCH(10,NQ13:NQ27,0),0),NR3:NR8,0),0)</f>
        <v>Türkiye</v>
      </c>
      <c r="NT19" s="325">
        <f t="shared" ca="1" si="5052"/>
        <v>1</v>
      </c>
      <c r="NU19" s="319">
        <f t="shared" ref="NU19" ca="1" si="5451">VLOOKUP(NV19,RQ18:RR22,2,FALSE)</f>
        <v>1</v>
      </c>
      <c r="NV19" s="319" t="str">
        <f t="shared" si="5054"/>
        <v>England</v>
      </c>
      <c r="NW19" s="319">
        <f t="shared" ref="NW19" ca="1" si="5452">SUMPRODUCT((RT3:RT42=NV19)*(RX3:RX42="W"))+SUMPRODUCT((RW3:RW42=NV19)*(RY3:RY42="W"))</f>
        <v>3</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6</v>
      </c>
      <c r="OA19" s="319">
        <f t="shared" ref="OA19" ca="1" si="5456">SUMIF(RW3:RW60,NV19,RU3:RU60)+SUMIF(RT3:RT60,NV19,RV3:RV60)</f>
        <v>3</v>
      </c>
      <c r="OB19" s="319">
        <f t="shared" ca="1" si="5060"/>
        <v>1003</v>
      </c>
      <c r="OC19" s="319">
        <f t="shared" ca="1" si="5061"/>
        <v>9</v>
      </c>
      <c r="OD19" s="319">
        <f t="shared" si="630"/>
        <v>49</v>
      </c>
      <c r="OE19" s="319">
        <f t="shared" ref="OE19" ca="1" si="5457">IF(COUNTIF(OC18:OC22,4)&lt;&gt;4,RANK(OC19,OC18:OC22),OC59)</f>
        <v>1</v>
      </c>
      <c r="OF19" s="319"/>
      <c r="OG19" s="319">
        <f t="shared" ref="OG19" ca="1" si="5458">SUMPRODUCT((OE18:OE21=OE19)*(OD18:OD21&lt;OD19))+OE19</f>
        <v>1</v>
      </c>
      <c r="OH19" s="319" t="str">
        <f t="shared" ref="OH19" ca="1" si="5459">INDEX(NV18:NV22,MATCH(2,OG18:OG22,0),0)</f>
        <v>Serbia</v>
      </c>
      <c r="OI19" s="319">
        <f t="shared" ref="OI19" ca="1" si="5460">INDEX(OE18:OE22,MATCH(OH19,NV18:NV22,0),0)</f>
        <v>2</v>
      </c>
      <c r="OJ19" s="319" t="str">
        <f t="shared" ref="OJ19" ca="1" si="5461">IF(OJ18&lt;&gt;"",OH19,"")</f>
        <v/>
      </c>
      <c r="OK19" s="319" t="str">
        <f t="shared" ref="OK19" ca="1" si="5462">IF(OK18&lt;&gt;"",OH20,"")</f>
        <v>Denmark</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Serbia</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f t="shared" ref="PP19:PP21" ca="1" si="5487">IF(PI19&lt;&gt;"",PJ19*3+PK19*1,"")</f>
        <v>1</v>
      </c>
      <c r="PQ19" s="319">
        <f t="shared" ref="PQ19" ca="1" si="5488">IF(PI19&lt;&gt;"",VLOOKUP(PI19,NV4:OB40,7,FALSE),"")</f>
        <v>1001</v>
      </c>
      <c r="PR19" s="319">
        <f t="shared" ref="PR19" ca="1" si="5489">IF(PI19&lt;&gt;"",VLOOKUP(PI19,NV4:OB40,5,FALSE),"")</f>
        <v>3</v>
      </c>
      <c r="PS19" s="319">
        <f t="shared" ref="PS19" ca="1" si="5490">IF(PI19&lt;&gt;"",VLOOKUP(PI19,NV4:OD40,9,FALSE),"")</f>
        <v>35</v>
      </c>
      <c r="PT19" s="319">
        <f t="shared" ref="PT19:PT21" ca="1" si="5491">PP19</f>
        <v>1</v>
      </c>
      <c r="PU19" s="319">
        <f t="shared" ref="PU19" ca="1" si="5492">IF(PI19&lt;&gt;"",RANK(PT19,PT18:PT22),"")</f>
        <v>1</v>
      </c>
      <c r="PV19" s="319">
        <f t="shared" ref="PV19" ca="1" si="5493">IF(PI19&lt;&gt;"",SUMPRODUCT((PT18:PT22=PT19)*(PO18:PO22&gt;PO19)),"")</f>
        <v>0</v>
      </c>
      <c r="PW19" s="319">
        <f t="shared" ref="PW19" ca="1" si="5494">IF(PI19&lt;&gt;"",SUMPRODUCT((PT18:PT22=PT19)*(PO18:PO22=PO19)*(PM18:PM22&gt;PM19)),"")</f>
        <v>0</v>
      </c>
      <c r="PX19" s="319">
        <f t="shared" ref="PX19" ca="1" si="5495">IF(PI19&lt;&gt;"",SUMPRODUCT((PT18:PT22=PT19)*(PO18:PO22=PO19)*(PM18:PM22=PM19)*(PQ18:PQ22&gt;PQ19)),"")</f>
        <v>0</v>
      </c>
      <c r="PY19" s="319">
        <f t="shared" ref="PY19" ca="1" si="5496">IF(PI19&lt;&gt;"",SUMPRODUCT((PT18:PT22=PT19)*(PO18:PO22=PO19)*(PM18:PM22=PM19)*(PQ18:PQ22=PQ19)*(PR18:PR22&gt;PR19)),"")</f>
        <v>0</v>
      </c>
      <c r="PZ19" s="319">
        <f t="shared" ref="PZ19" ca="1" si="5497">IF(PI19&lt;&gt;"",SUMPRODUCT((PT18:PT22=PT19)*(PO18:PO22=PO19)*(PM18:PM22=PM19)*(PQ18:PQ22=PQ19)*(PR18:PR22=PR19)*(PS18:PS22&gt;PS19)),"")</f>
        <v>0</v>
      </c>
      <c r="QA19" s="319">
        <f ca="1">IF(PI19&lt;&gt;"",IF(QA59&lt;&gt;"",IF(PH57=3,QA59,QA59+PH57),SUM(PU19:PZ19)+1),"")</f>
        <v>2</v>
      </c>
      <c r="QB19" s="319" t="str">
        <f t="shared" ref="QB19" ca="1" si="5498">IF(PI19&lt;&gt;"",INDEX(PI19:PI22,MATCH(2,QA19:QA22,0),0),"")</f>
        <v>Serbia</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Serbia</v>
      </c>
      <c r="RR19" s="319">
        <v>2</v>
      </c>
      <c r="RS19" s="319">
        <v>17</v>
      </c>
      <c r="RT19" s="319" t="str">
        <f t="shared" si="18"/>
        <v>Denmark</v>
      </c>
      <c r="RU19" s="322">
        <f ca="1">IF(OFFSET('Player Game Board'!P26,0,RU1)&lt;&gt;"",OFFSET('Player Game Board'!P26,0,RU1),0)</f>
        <v>1</v>
      </c>
      <c r="RV19" s="322">
        <f ca="1">IF(OFFSET('Player Game Board'!Q26,0,RU1)&lt;&gt;"",OFFSET('Player Game Board'!Q26,0,RU1),0)</f>
        <v>2</v>
      </c>
      <c r="RW19" s="319" t="str">
        <f t="shared" si="19"/>
        <v>England</v>
      </c>
      <c r="RX19" s="319" t="str">
        <f ca="1">IF(AND(OFFSET('Player Game Board'!P26,0,RU1)&lt;&gt;"",OFFSET('Player Game Board'!Q26,0,RU1)&lt;&gt;""),IF(RU19&gt;RV19,"W",IF(RU19=RV19,"D","L")),"")</f>
        <v>L</v>
      </c>
      <c r="RY19" s="319" t="str">
        <f t="shared" ref="RY19:RY38" ca="1" si="5500">IF(RX19&lt;&gt;"",IF(RX19="W","L",IF(RX19="L","W","D")),"")</f>
        <v>W</v>
      </c>
      <c r="RZ19" s="319"/>
      <c r="SA19" s="319"/>
      <c r="SB19" s="324" t="s">
        <v>101</v>
      </c>
      <c r="SC19" s="325" t="s">
        <v>103</v>
      </c>
      <c r="SD19" s="325" t="s">
        <v>104</v>
      </c>
      <c r="SE19" s="325" t="s">
        <v>105</v>
      </c>
      <c r="SF19" s="324" t="s">
        <v>105</v>
      </c>
      <c r="SG19" s="324" t="s">
        <v>104</v>
      </c>
      <c r="SH19" s="324" t="s">
        <v>103</v>
      </c>
      <c r="SI19" s="324" t="s">
        <v>101</v>
      </c>
      <c r="SJ19" s="325"/>
      <c r="SK19" s="326">
        <f t="shared" ref="SK19" ca="1" si="5501">IFERROR(MATCH(SK12,SB19:SE19,0),0)</f>
        <v>2</v>
      </c>
      <c r="SL19" s="326">
        <f t="shared" ref="SL19" ca="1" si="5502">IFERROR(MATCH(SL12,SB19:SE19,0),0)</f>
        <v>0</v>
      </c>
      <c r="SM19" s="326">
        <f t="shared" ref="SM19" ca="1" si="5503">IFERROR(MATCH(SM12,SB19:SE19,0),0)</f>
        <v>0</v>
      </c>
      <c r="SN19" s="326">
        <f t="shared" ref="SN19" ca="1" si="5504">IFERROR(MATCH(SN12,SB19:SE19,0),0)</f>
        <v>4</v>
      </c>
      <c r="SO19" s="326">
        <f t="shared" ca="1" si="3616"/>
        <v>6</v>
      </c>
      <c r="SP19" s="325" t="s">
        <v>353</v>
      </c>
      <c r="SQ19" s="325" t="str">
        <f t="shared" ref="SQ19" ca="1" si="5505">INDEX(SB3:SB8,MATCH(INDEX(SG13:SG27,MATCH(10,SO13:SO27,0),0),SP3:SP8,0),0)</f>
        <v>Belgium</v>
      </c>
      <c r="SR19" s="325">
        <f t="shared" ca="1" si="5095"/>
        <v>0</v>
      </c>
      <c r="SS19" s="319">
        <f t="shared" ref="SS19" ca="1" si="5506">VLOOKUP(ST19,WO18:WP22,2,FALSE)</f>
        <v>1</v>
      </c>
      <c r="ST19" s="319" t="str">
        <f t="shared" si="5097"/>
        <v>England</v>
      </c>
      <c r="SU19" s="319">
        <f t="shared" ref="SU19" ca="1" si="5507">SUMPRODUCT((WR3:WR42=ST19)*(WV3:WV42="W"))+SUMPRODUCT((WU3:WU42=ST19)*(WW3:WW42="W"))</f>
        <v>3</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7</v>
      </c>
      <c r="SY19" s="319">
        <f t="shared" ref="SY19" ca="1" si="5511">SUMIF(WU3:WU60,ST19,WS3:WS60)+SUMIF(WR3:WR60,ST19,WT3:WT60)</f>
        <v>2</v>
      </c>
      <c r="SZ19" s="319">
        <f t="shared" ca="1" si="5103"/>
        <v>1005</v>
      </c>
      <c r="TA19" s="319">
        <f t="shared" ca="1" si="5104"/>
        <v>9</v>
      </c>
      <c r="TB19" s="319">
        <f t="shared" si="690"/>
        <v>49</v>
      </c>
      <c r="TC19" s="319">
        <f t="shared" ref="TC19" ca="1" si="5512">IF(COUNTIF(TA18:TA22,4)&lt;&gt;4,RANK(TA19,TA18:TA22),TA59)</f>
        <v>1</v>
      </c>
      <c r="TD19" s="319"/>
      <c r="TE19" s="319">
        <f t="shared" ref="TE19" ca="1" si="5513">SUMPRODUCT((TC18:TC21=TC19)*(TB18:TB21&lt;TB19))+TC19</f>
        <v>1</v>
      </c>
      <c r="TF19" s="319" t="str">
        <f t="shared" ref="TF19" ca="1" si="5514">INDEX(ST18:ST22,MATCH(2,TE18:TE22,0),0)</f>
        <v>Denmark</v>
      </c>
      <c r="TG19" s="319">
        <f t="shared" ref="TG19" ca="1" si="5515">INDEX(TC18:TC22,MATCH(TF19,ST18:ST22,0),0)</f>
        <v>2</v>
      </c>
      <c r="TH19" s="319" t="str">
        <f t="shared" ref="TH19" ca="1" si="5516">IF(TH18&lt;&gt;"",TF19,"")</f>
        <v/>
      </c>
      <c r="TI19" s="319" t="str">
        <f t="shared" ref="TI19" ca="1" si="5517">IF(TI18&lt;&gt;"",TF20,"")</f>
        <v/>
      </c>
      <c r="TJ19" s="319" t="str">
        <f t="shared" ref="TJ19" ca="1" si="5518">IF(TJ18&lt;&gt;"",TF21,"")</f>
        <v>Slovenia</v>
      </c>
      <c r="TK19" s="319" t="str">
        <f t="shared" ref="TK19" si="5519">IF(TK18&lt;&gt;"",TF22,"")</f>
        <v/>
      </c>
      <c r="TL19" s="319"/>
      <c r="TM19" s="319" t="str">
        <f t="shared" ca="1" si="5113"/>
        <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t="str">
        <f t="shared" ca="1" si="5120"/>
        <v/>
      </c>
      <c r="TU19" s="319" t="str">
        <f t="shared" ref="TU19" ca="1" si="5525">IF(TM19&lt;&gt;"",VLOOKUP(TM19,ST4:SZ40,7,FALSE),"")</f>
        <v/>
      </c>
      <c r="TV19" s="319" t="str">
        <f t="shared" ref="TV19" ca="1" si="5526">IF(TM19&lt;&gt;"",VLOOKUP(TM19,ST4:SZ40,5,FALSE),"")</f>
        <v/>
      </c>
      <c r="TW19" s="319" t="str">
        <f t="shared" ref="TW19" ca="1" si="5527">IF(TM19&lt;&gt;"",VLOOKUP(TM19,ST4:TB40,9,FALSE),"")</f>
        <v/>
      </c>
      <c r="TX19" s="319" t="str">
        <f t="shared" ca="1" si="5124"/>
        <v/>
      </c>
      <c r="TY19" s="319" t="str">
        <f t="shared" ref="TY19" ca="1" si="5528">IF(TM19&lt;&gt;"",RANK(TX19,TX18:TX22),"")</f>
        <v/>
      </c>
      <c r="TZ19" s="319" t="str">
        <f t="shared" ref="TZ19" ca="1" si="5529">IF(TM19&lt;&gt;"",SUMPRODUCT((TX18:TX22=TX19)*(TS18:TS22&gt;TS19)),"")</f>
        <v/>
      </c>
      <c r="UA19" s="319" t="str">
        <f t="shared" ref="UA19" ca="1" si="5530">IF(TM19&lt;&gt;"",SUMPRODUCT((TX18:TX22=TX19)*(TS18:TS22=TS19)*(TQ18:TQ22&gt;TQ19)),"")</f>
        <v/>
      </c>
      <c r="UB19" s="319" t="str">
        <f t="shared" ref="UB19" ca="1" si="5531">IF(TM19&lt;&gt;"",SUMPRODUCT((TX18:TX22=TX19)*(TS18:TS22=TS19)*(TQ18:TQ22=TQ19)*(TU18:TU22&gt;TU19)),"")</f>
        <v/>
      </c>
      <c r="UC19" s="319" t="str">
        <f t="shared" ref="UC19" ca="1" si="5532">IF(TM19&lt;&gt;"",SUMPRODUCT((TX18:TX22=TX19)*(TS18:TS22=TS19)*(TQ18:TQ22=TQ19)*(TU18:TU22=TU19)*(TV18:TV22&gt;TV19)),"")</f>
        <v/>
      </c>
      <c r="UD19" s="319" t="str">
        <f t="shared" ref="UD19" ca="1" si="5533">IF(TM19&lt;&gt;"",SUMPRODUCT((TX18:TX22=TX19)*(TS18:TS22=TS19)*(TQ18:TQ22=TQ19)*(TU18:TU22=TU19)*(TV18:TV22=TV19)*(TW18:TW22&gt;TW19)),"")</f>
        <v/>
      </c>
      <c r="UE19" s="319" t="str">
        <f ca="1">IF(TM19&lt;&gt;"",IF(UE59&lt;&gt;"",IF(TL57=3,UE59,UE59+TL57),SUM(TY19:UD19)),"")</f>
        <v/>
      </c>
      <c r="UF19" s="319" t="str">
        <f t="shared" ref="UF19" ca="1" si="5534">IF(TM19&lt;&gt;"",INDEX(TM18:TM22,MATCH(2,UE18:UE22,0),0),"")</f>
        <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2</v>
      </c>
      <c r="WU19" s="319" t="str">
        <f t="shared" si="35"/>
        <v>England</v>
      </c>
      <c r="WV19" s="319" t="str">
        <f ca="1">IF(AND(OFFSET('Player Game Board'!P26,0,WS1)&lt;&gt;"",OFFSET('Player Game Board'!Q26,0,WS1)&lt;&gt;""),IF(WS19&gt;WT19,"W",IF(WS19=WT19,"D","L")),"")</f>
        <v>L</v>
      </c>
      <c r="WW19" s="319" t="str">
        <f t="shared" ref="WW19:WW38" ca="1" si="5555">IF(WV19&lt;&gt;"",IF(WV19="W","L",IF(WV19="L","W","D")),"")</f>
        <v>W</v>
      </c>
      <c r="WX19" s="319"/>
      <c r="WY19" s="319"/>
      <c r="WZ19" s="324" t="s">
        <v>101</v>
      </c>
      <c r="XA19" s="325" t="s">
        <v>103</v>
      </c>
      <c r="XB19" s="325" t="s">
        <v>104</v>
      </c>
      <c r="XC19" s="325" t="s">
        <v>105</v>
      </c>
      <c r="XD19" s="324" t="s">
        <v>105</v>
      </c>
      <c r="XE19" s="324" t="s">
        <v>104</v>
      </c>
      <c r="XF19" s="324" t="s">
        <v>103</v>
      </c>
      <c r="XG19" s="324" t="s">
        <v>101</v>
      </c>
      <c r="XH19" s="325"/>
      <c r="XI19" s="326">
        <f t="shared" ref="XI19" ca="1" si="5556">IFERROR(MATCH(XI12,WZ19:XC19,0),0)</f>
        <v>0</v>
      </c>
      <c r="XJ19" s="326">
        <f t="shared" ref="XJ19" ca="1" si="5557">IFERROR(MATCH(XJ12,WZ19:XC19,0),0)</f>
        <v>4</v>
      </c>
      <c r="XK19" s="326">
        <f t="shared" ref="XK19" ca="1" si="5558">IFERROR(MATCH(XK12,WZ19:XC19,0),0)</f>
        <v>0</v>
      </c>
      <c r="XL19" s="326">
        <f t="shared" ref="XL19" ca="1" si="5559">IFERROR(MATCH(XL12,WZ19:XC19,0),0)</f>
        <v>1</v>
      </c>
      <c r="XM19" s="326">
        <f t="shared" ca="1" si="3686"/>
        <v>5</v>
      </c>
      <c r="XN19" s="325" t="s">
        <v>353</v>
      </c>
      <c r="XO19" s="325" t="str">
        <f t="shared" ref="XO19" ca="1" si="5560">INDEX(WZ3:WZ8,MATCH(INDEX(XE13:XE27,MATCH(10,XM13:XM27,0),0),XN3:XN8,0),0)</f>
        <v>Czechia</v>
      </c>
      <c r="XP19" s="325">
        <f t="shared" ca="1" si="5138"/>
        <v>0</v>
      </c>
      <c r="XQ19" s="319">
        <f t="shared" ref="XQ19" ca="1" si="5561">VLOOKUP(XR19,ABM18:ABN22,2,FALSE)</f>
        <v>2</v>
      </c>
      <c r="XR19" s="319" t="str">
        <f t="shared" si="5140"/>
        <v>England</v>
      </c>
      <c r="XS19" s="319">
        <f t="shared" ref="XS19" ca="1" si="5562">SUMPRODUCT((ABP3:ABP42=XR19)*(ABT3:ABT42="W"))+SUMPRODUCT((ABS3:ABS42=XR19)*(ABU3:ABU42="W"))</f>
        <v>1</v>
      </c>
      <c r="XT19" s="319">
        <f t="shared" ref="XT19" ca="1" si="5563">SUMPRODUCT((ABP3:ABP42=XR19)*(ABT3:ABT42="D"))+SUMPRODUCT((ABS3:ABS42=XR19)*(ABU3:ABU42="D"))</f>
        <v>2</v>
      </c>
      <c r="XU19" s="319">
        <f t="shared" ref="XU19" ca="1" si="5564">SUMPRODUCT((ABP3:ABP42=XR19)*(ABT3:ABT42="L"))+SUMPRODUCT((ABS3:ABS42=XR19)*(ABU3:ABU42="L"))</f>
        <v>0</v>
      </c>
      <c r="XV19" s="319">
        <f t="shared" ref="XV19" ca="1" si="5565">SUMIF(ABP3:ABP60,XR19,ABQ3:ABQ60)+SUMIF(ABS3:ABS60,XR19,ABR3:ABR60)</f>
        <v>5</v>
      </c>
      <c r="XW19" s="319">
        <f t="shared" ref="XW19" ca="1" si="5566">SUMIF(ABS3:ABS60,XR19,ABQ3:ABQ60)+SUMIF(ABP3:ABP60,XR19,ABR3:ABR60)</f>
        <v>3</v>
      </c>
      <c r="XX19" s="319">
        <f t="shared" ca="1" si="5146"/>
        <v>1002</v>
      </c>
      <c r="XY19" s="319">
        <f t="shared" ca="1" si="5147"/>
        <v>5</v>
      </c>
      <c r="XZ19" s="319">
        <f t="shared" si="750"/>
        <v>49</v>
      </c>
      <c r="YA19" s="319">
        <f t="shared" ref="YA19" ca="1" si="5567">IF(COUNTIF(XY18:XY22,4)&lt;&gt;4,RANK(XY19,XY18:XY22),XY59)</f>
        <v>2</v>
      </c>
      <c r="YB19" s="319"/>
      <c r="YC19" s="319">
        <f t="shared" ref="YC19" ca="1" si="5568">SUMPRODUCT((YA18:YA21=YA19)*(XZ18:XZ21&lt;XZ19))+YA19</f>
        <v>2</v>
      </c>
      <c r="YD19" s="319" t="str">
        <f t="shared" ref="YD19" ca="1" si="5569">INDEX(XR18:XR22,MATCH(2,YC18:YC22,0),0)</f>
        <v>England</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England</v>
      </c>
      <c r="ABN19" s="319">
        <v>2</v>
      </c>
      <c r="ABO19" s="319">
        <v>17</v>
      </c>
      <c r="ABP19" s="319" t="str">
        <f t="shared" si="50"/>
        <v>Denmark</v>
      </c>
      <c r="ABQ19" s="322">
        <f ca="1">IF(OFFSET('Player Game Board'!P26,0,ABQ1)&lt;&gt;"",OFFSET('Player Game Board'!P26,0,ABQ1),0)</f>
        <v>1</v>
      </c>
      <c r="ABR19" s="322">
        <f ca="1">IF(OFFSET('Player Game Board'!Q26,0,ABQ1)&lt;&gt;"",OFFSET('Player Game Board'!Q26,0,ABQ1),0)</f>
        <v>1</v>
      </c>
      <c r="ABS19" s="319" t="str">
        <f t="shared" si="51"/>
        <v>England</v>
      </c>
      <c r="ABT19" s="319" t="str">
        <f ca="1">IF(AND(OFFSET('Player Game Board'!P26,0,ABQ1)&lt;&gt;"",OFFSET('Player Game Board'!Q26,0,ABQ1)&lt;&gt;""),IF(ABQ19&gt;ABR19,"W",IF(ABQ19=ABR19,"D","L")),"")</f>
        <v>D</v>
      </c>
      <c r="ABU19" s="319" t="str">
        <f t="shared" ref="ABU19:ABU38" ca="1" si="5610">IF(ABT19&lt;&gt;"",IF(ABT19="W","L",IF(ABT19="L","W","D")),"")</f>
        <v>D</v>
      </c>
      <c r="ABV19" s="319"/>
      <c r="ABW19" s="319"/>
      <c r="ABX19" s="324" t="s">
        <v>101</v>
      </c>
      <c r="ABY19" s="325" t="s">
        <v>103</v>
      </c>
      <c r="ABZ19" s="325" t="s">
        <v>104</v>
      </c>
      <c r="ACA19" s="325" t="s">
        <v>105</v>
      </c>
      <c r="ACB19" s="324" t="s">
        <v>105</v>
      </c>
      <c r="ACC19" s="324" t="s">
        <v>104</v>
      </c>
      <c r="ACD19" s="324" t="s">
        <v>103</v>
      </c>
      <c r="ACE19" s="324" t="s">
        <v>101</v>
      </c>
      <c r="ACF19" s="325"/>
      <c r="ACG19" s="326">
        <f t="shared" ref="ACG19" ca="1" si="5611">IFERROR(MATCH(ACG12,ABX19:ACA19,0),0)</f>
        <v>2</v>
      </c>
      <c r="ACH19" s="326">
        <f t="shared" ref="ACH19" ca="1" si="5612">IFERROR(MATCH(ACH12,ABX19:ACA19,0),0)</f>
        <v>0</v>
      </c>
      <c r="ACI19" s="326">
        <f t="shared" ref="ACI19" ca="1" si="5613">IFERROR(MATCH(ACI12,ABX19:ACA19,0),0)</f>
        <v>3</v>
      </c>
      <c r="ACJ19" s="326">
        <f t="shared" ref="ACJ19" ca="1" si="5614">IFERROR(MATCH(ACJ12,ABX19:ACA19,0),0)</f>
        <v>1</v>
      </c>
      <c r="ACK19" s="326">
        <f t="shared" ca="1" si="3756"/>
        <v>6</v>
      </c>
      <c r="ACL19" s="325" t="s">
        <v>353</v>
      </c>
      <c r="ACM19" s="325" t="str">
        <f t="shared" ref="ACM19" ca="1" si="5615">INDEX(ABX3:ABX8,MATCH(INDEX(ACC13:ACC27,MATCH(10,ACK13:ACK27,0),0),ACL3:ACL8,0),0)</f>
        <v>Austria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3</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8</v>
      </c>
      <c r="ACU19" s="319">
        <f t="shared" ref="ACU19" ca="1" si="5621">SUMIF(AGQ3:AGQ60,ACP19,AGO3:AGO60)+SUMIF(AGN3:AGN60,ACP19,AGP3:AGP60)</f>
        <v>2</v>
      </c>
      <c r="ACV19" s="319">
        <f t="shared" ca="1" si="5189"/>
        <v>1006</v>
      </c>
      <c r="ACW19" s="319">
        <f t="shared" ca="1" si="5190"/>
        <v>9</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1</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101</v>
      </c>
      <c r="AGW19" s="325" t="s">
        <v>103</v>
      </c>
      <c r="AGX19" s="325" t="s">
        <v>104</v>
      </c>
      <c r="AGY19" s="325" t="s">
        <v>105</v>
      </c>
      <c r="AGZ19" s="324" t="s">
        <v>105</v>
      </c>
      <c r="AHA19" s="324" t="s">
        <v>104</v>
      </c>
      <c r="AHB19" s="324" t="s">
        <v>103</v>
      </c>
      <c r="AHC19" s="324" t="s">
        <v>101</v>
      </c>
      <c r="AHD19" s="325"/>
      <c r="AHE19" s="326">
        <f t="shared" ref="AHE19" ca="1" si="5666">IFERROR(MATCH(AHE12,AGV19:AGY19,0),0)</f>
        <v>0</v>
      </c>
      <c r="AHF19" s="326">
        <f t="shared" ref="AHF19" ca="1" si="5667">IFERROR(MATCH(AHF12,AGV19:AGY19,0),0)</f>
        <v>1</v>
      </c>
      <c r="AHG19" s="326">
        <f t="shared" ref="AHG19" ca="1" si="5668">IFERROR(MATCH(AHG12,AGV19:AGY19,0),0)</f>
        <v>0</v>
      </c>
      <c r="AHH19" s="326">
        <f t="shared" ref="AHH19" ca="1" si="5669">IFERROR(MATCH(AHH12,AGV19:AGY19,0),0)</f>
        <v>2</v>
      </c>
      <c r="AHI19" s="326">
        <f t="shared" ca="1" si="3826"/>
        <v>3</v>
      </c>
      <c r="AHJ19" s="325" t="s">
        <v>353</v>
      </c>
      <c r="AHK19" s="325" t="str">
        <f t="shared" ref="AHK19" ca="1" si="5670">INDEX(AGV3:AGV8,MATCH(INDEX(AHA13:AHA27,MATCH(10,AHI13:AHI27,0),0),AHJ3:AHJ8,0),0)</f>
        <v>Türkiye</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6</v>
      </c>
      <c r="AHS19" s="319">
        <f t="shared" ref="AHS19" ca="1" si="5676">SUMIF(ALO3:ALO60,AHN19,ALM3:ALM60)+SUMIF(ALL3:ALL60,AHN19,ALN3:ALN60)</f>
        <v>1</v>
      </c>
      <c r="AHT19" s="319">
        <f t="shared" ca="1" si="5232"/>
        <v>1005</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Serbia</v>
      </c>
      <c r="AIA19" s="319">
        <f t="shared" ref="AIA19" ca="1" si="5680">INDEX(AHW18:AHW22,MATCH(AHZ19,AHN18:AHN22,0),0)</f>
        <v>2</v>
      </c>
      <c r="AIB19" s="319" t="str">
        <f t="shared" ref="AIB19" ca="1" si="5681">IF(AIB18&lt;&gt;"",AHZ19,"")</f>
        <v/>
      </c>
      <c r="AIC19" s="319" t="str">
        <f t="shared" ref="AIC19" ca="1" si="5682">IF(AIC18&lt;&gt;"",AHZ20,"")</f>
        <v>Denmark</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Serbia</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19">
        <f t="shared" ref="AJG19:AJG21" ca="1" si="5706">AJE19-AJF19+1000</f>
        <v>1000</v>
      </c>
      <c r="AJH19" s="319">
        <f t="shared" ref="AJH19:AJH21" ca="1" si="5707">IF(AJA19&lt;&gt;"",AJB19*3+AJC19*1,"")</f>
        <v>1</v>
      </c>
      <c r="AJI19" s="319">
        <f t="shared" ref="AJI19" ca="1" si="5708">IF(AJA19&lt;&gt;"",VLOOKUP(AJA19,AHN4:AHT40,7,FALSE),"")</f>
        <v>1000</v>
      </c>
      <c r="AJJ19" s="319">
        <f t="shared" ref="AJJ19" ca="1" si="5709">IF(AJA19&lt;&gt;"",VLOOKUP(AJA19,AHN4:AHT40,5,FALSE),"")</f>
        <v>4</v>
      </c>
      <c r="AJK19" s="319">
        <f t="shared" ref="AJK19" ca="1" si="5710">IF(AJA19&lt;&gt;"",VLOOKUP(AJA19,AHN4:AHV40,9,FALSE),"")</f>
        <v>35</v>
      </c>
      <c r="AJL19" s="319">
        <f t="shared" ref="AJL19:AJL21" ca="1" si="5711">AJH19</f>
        <v>1</v>
      </c>
      <c r="AJM19" s="319">
        <f t="shared" ref="AJM19" ca="1" si="5712">IF(AJA19&lt;&gt;"",RANK(AJL19,AJL18:AJL22),"")</f>
        <v>1</v>
      </c>
      <c r="AJN19" s="319">
        <f t="shared" ref="AJN19" ca="1" si="5713">IF(AJA19&lt;&gt;"",SUMPRODUCT((AJL18:AJL22=AJL19)*(AJG18:AJG22&gt;AJG19)),"")</f>
        <v>0</v>
      </c>
      <c r="AJO19" s="319">
        <f t="shared" ref="AJO19" ca="1" si="5714">IF(AJA19&lt;&gt;"",SUMPRODUCT((AJL18:AJL22=AJL19)*(AJG18:AJG22=AJG19)*(AJE18:AJE22&gt;AJE19)),"")</f>
        <v>0</v>
      </c>
      <c r="AJP19" s="319">
        <f t="shared" ref="AJP19" ca="1" si="5715">IF(AJA19&lt;&gt;"",SUMPRODUCT((AJL18:AJL22=AJL19)*(AJG18:AJG22=AJG19)*(AJE18:AJE22=AJE19)*(AJI18:AJI22&gt;AJI19)),"")</f>
        <v>1</v>
      </c>
      <c r="AJQ19" s="319">
        <f t="shared" ref="AJQ19" ca="1" si="5716">IF(AJA19&lt;&gt;"",SUMPRODUCT((AJL18:AJL22=AJL19)*(AJG18:AJG22=AJG19)*(AJE18:AJE22=AJE19)*(AJI18:AJI22=AJI19)*(AJJ18:AJJ22&gt;AJJ19)),"")</f>
        <v>0</v>
      </c>
      <c r="AJR19" s="319">
        <f t="shared" ref="AJR19" ca="1" si="5717">IF(AJA19&lt;&gt;"",SUMPRODUCT((AJL18:AJL22=AJL19)*(AJG18:AJG22=AJG19)*(AJE18:AJE22=AJE19)*(AJI18:AJI22=AJI19)*(AJJ18:AJJ22=AJJ19)*(AJK18:AJK22&gt;AJK19)),"")</f>
        <v>0</v>
      </c>
      <c r="AJS19" s="319">
        <f ca="1">IF(AJA19&lt;&gt;"",IF(AJS59&lt;&gt;"",IF(AIZ57=3,AJS59,AJS59+AIZ57),SUM(AJM19:AJR19)+1),"")</f>
        <v>3</v>
      </c>
      <c r="AJT19" s="319" t="str">
        <f t="shared" ref="AJT19" ca="1" si="5718">IF(AJA19&lt;&gt;"",INDEX(AJA19:AJA22,MATCH(2,AJS19:AJS22,0),0),"")</f>
        <v>Denmark</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101</v>
      </c>
      <c r="ALU19" s="325" t="s">
        <v>103</v>
      </c>
      <c r="ALV19" s="325" t="s">
        <v>104</v>
      </c>
      <c r="ALW19" s="325" t="s">
        <v>105</v>
      </c>
      <c r="ALX19" s="324" t="s">
        <v>105</v>
      </c>
      <c r="ALY19" s="324" t="s">
        <v>104</v>
      </c>
      <c r="ALZ19" s="324" t="s">
        <v>103</v>
      </c>
      <c r="AMA19" s="324" t="s">
        <v>101</v>
      </c>
      <c r="AMB19" s="325"/>
      <c r="AMC19" s="326">
        <f t="shared" ref="AMC19" ca="1" si="5721">IFERROR(MATCH(AMC12,ALT19:ALW19,0),0)</f>
        <v>0</v>
      </c>
      <c r="AMD19" s="326">
        <f t="shared" ref="AMD19" ca="1" si="5722">IFERROR(MATCH(AMD12,ALT19:ALW19,0),0)</f>
        <v>2</v>
      </c>
      <c r="AME19" s="326">
        <f t="shared" ref="AME19" ca="1" si="5723">IFERROR(MATCH(AME12,ALT19:ALW19,0),0)</f>
        <v>0</v>
      </c>
      <c r="AMF19" s="326">
        <f t="shared" ref="AMF19" ca="1" si="5724">IFERROR(MATCH(AMF12,ALT19:ALW19,0),0)</f>
        <v>4</v>
      </c>
      <c r="AMG19" s="326">
        <f t="shared" ca="1" si="3896"/>
        <v>6</v>
      </c>
      <c r="AMH19" s="325" t="s">
        <v>353</v>
      </c>
      <c r="AMI19" s="325" t="str">
        <f t="shared" ref="AMI19" ca="1" si="5725">INDEX(ALT3:ALT8,MATCH(INDEX(ALY13:ALY27,MATCH(10,AMG13:AMG27,0),0),AMH3:AMH8,0),0)</f>
        <v>Slovakia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101</v>
      </c>
      <c r="AQS19" s="325" t="s">
        <v>103</v>
      </c>
      <c r="AQT19" s="325" t="s">
        <v>104</v>
      </c>
      <c r="AQU19" s="325" t="s">
        <v>105</v>
      </c>
      <c r="AQV19" s="324" t="s">
        <v>105</v>
      </c>
      <c r="AQW19" s="324" t="s">
        <v>104</v>
      </c>
      <c r="AQX19" s="324" t="s">
        <v>103</v>
      </c>
      <c r="AQY19" s="324" t="s">
        <v>101</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353</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101</v>
      </c>
      <c r="AVQ19" s="325" t="s">
        <v>103</v>
      </c>
      <c r="AVR19" s="325" t="s">
        <v>104</v>
      </c>
      <c r="AVS19" s="325" t="s">
        <v>105</v>
      </c>
      <c r="AVT19" s="324" t="s">
        <v>105</v>
      </c>
      <c r="AVU19" s="324" t="s">
        <v>104</v>
      </c>
      <c r="AVV19" s="324" t="s">
        <v>103</v>
      </c>
      <c r="AVW19" s="324" t="s">
        <v>101</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353</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101</v>
      </c>
      <c r="BAO19" s="325" t="s">
        <v>103</v>
      </c>
      <c r="BAP19" s="325" t="s">
        <v>104</v>
      </c>
      <c r="BAQ19" s="325" t="s">
        <v>105</v>
      </c>
      <c r="BAR19" s="324" t="s">
        <v>105</v>
      </c>
      <c r="BAS19" s="324" t="s">
        <v>104</v>
      </c>
      <c r="BAT19" s="324" t="s">
        <v>103</v>
      </c>
      <c r="BAU19" s="324" t="s">
        <v>101</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353</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101</v>
      </c>
      <c r="BFM19" s="325" t="s">
        <v>103</v>
      </c>
      <c r="BFN19" s="325" t="s">
        <v>104</v>
      </c>
      <c r="BFO19" s="325" t="s">
        <v>105</v>
      </c>
      <c r="BFP19" s="324" t="s">
        <v>105</v>
      </c>
      <c r="BFQ19" s="324" t="s">
        <v>104</v>
      </c>
      <c r="BFR19" s="324" t="s">
        <v>103</v>
      </c>
      <c r="BFS19" s="324" t="s">
        <v>101</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353</v>
      </c>
      <c r="BGA19" s="325" t="str">
        <f t="shared" ref="BGA19" ca="1" si="5945">INDEX(BFL3:BFL8,MATCH(INDEX(BFQ13:BFQ27,MATCH(10,BFY13:BFY27,0),0),BFZ3:BFZ8,0),0)</f>
        <v>Austria</v>
      </c>
      <c r="BGB19" s="325">
        <f t="shared" ca="1" si="5439"/>
        <v>1</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101</v>
      </c>
      <c r="DI20" s="325" t="s">
        <v>103</v>
      </c>
      <c r="DJ20" s="325" t="s">
        <v>104</v>
      </c>
      <c r="DK20" s="325" t="s">
        <v>106</v>
      </c>
      <c r="DL20" s="324" t="s">
        <v>106</v>
      </c>
      <c r="DM20" s="324" t="s">
        <v>104</v>
      </c>
      <c r="DN20" s="324" t="s">
        <v>103</v>
      </c>
      <c r="DO20" s="324" t="s">
        <v>101</v>
      </c>
      <c r="DP20" s="325"/>
      <c r="DQ20" s="326">
        <f>IFERROR(MATCH(DQ12,DH20:DK20,0),0)</f>
        <v>3</v>
      </c>
      <c r="DR20" s="326">
        <f>IFERROR(MATCH(DR12,DH20:DK20,0),0)</f>
        <v>0</v>
      </c>
      <c r="DS20" s="326">
        <f>IFERROR(MATCH(DS12,DH20:DK20,0),0)</f>
        <v>2</v>
      </c>
      <c r="DT20" s="326">
        <f>IFERROR(MATCH(DT12,DH20:DK20,0),0)</f>
        <v>0</v>
      </c>
      <c r="DU20" s="326">
        <f t="shared" si="3541"/>
        <v>5</v>
      </c>
      <c r="DV20" s="325" t="s">
        <v>354</v>
      </c>
      <c r="DW20" s="325" t="str">
        <f>INDEX(DH3:DH8,MATCH(INDEX(DN13:DN27,MATCH(10,DU13:DU27,0),0),DV3:DV8,0),0)</f>
        <v>Albania</v>
      </c>
      <c r="DX20" s="325"/>
      <c r="DY20" s="319">
        <f ca="1">VLOOKUP(DZ20,HU18:HV22,2,FALSE)</f>
        <v>3</v>
      </c>
      <c r="DZ20" s="319" t="str">
        <f t="shared" si="5443"/>
        <v>Slovenia</v>
      </c>
      <c r="EA20" s="319">
        <f ca="1">SUMPRODUCT((HX3:HX42=DZ20)*(IB3:IB42="W"))+SUMPRODUCT((IA3:IA42=DZ20)*(IC3:IC42="W"))</f>
        <v>0</v>
      </c>
      <c r="EB20" s="319">
        <f ca="1">SUMPRODUCT((HX3:HX42=DZ20)*(IB3:IB42="D"))+SUMPRODUCT((IA3:IA42=DZ20)*(IC3:IC42="D"))</f>
        <v>2</v>
      </c>
      <c r="EC20" s="319">
        <f ca="1">SUMPRODUCT((HX3:HX42=DZ20)*(IB3:IB42="L"))+SUMPRODUCT((IA3:IA42=DZ20)*(IC3:IC42="L"))</f>
        <v>1</v>
      </c>
      <c r="ED20" s="319">
        <f ca="1">SUMIF(HX3:HX60,DZ20,HY3:HY60)+SUMIF(IA3:IA60,DZ20,HZ3:HZ60)</f>
        <v>2</v>
      </c>
      <c r="EE20" s="319">
        <f ca="1">SUMIF(IA3:IA60,DZ20,HY3:HY60)+SUMIF(HX3:HX60,DZ20,HZ3:HZ60)</f>
        <v>5</v>
      </c>
      <c r="EF20" s="319">
        <f t="shared" ca="1" si="5043"/>
        <v>997</v>
      </c>
      <c r="EG20" s="319">
        <f t="shared" ca="1" si="5044"/>
        <v>2</v>
      </c>
      <c r="EH20" s="319">
        <f t="shared" si="609"/>
        <v>39</v>
      </c>
      <c r="EI20" s="319">
        <f ca="1">IF(COUNTIF(EG18:EG22,4)&lt;&gt;4,RANK(EG20,EG18:EG22),EG60)</f>
        <v>3</v>
      </c>
      <c r="EJ20" s="319"/>
      <c r="EK20" s="319">
        <f ca="1">SUMPRODUCT((EI18:EI21=EI20)*(EH18:EH21&lt;EH20))+EI20</f>
        <v>3</v>
      </c>
      <c r="EL20" s="319" t="str">
        <f ca="1">INDEX(DZ18:DZ22,MATCH(3,EK18:EK22,0),0)</f>
        <v>Slovenia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Slovenia</v>
      </c>
      <c r="HV20" s="319">
        <v>3</v>
      </c>
      <c r="HW20" s="319">
        <v>18</v>
      </c>
      <c r="HX20" s="319" t="str">
        <f t="shared" si="164"/>
        <v>Slovenia</v>
      </c>
      <c r="HY20" s="322">
        <f ca="1">IF(OFFSET('Player Game Board'!P27,0,HY1)&lt;&gt;"",OFFSET('Player Game Board'!P27,0,HY1),0)</f>
        <v>1</v>
      </c>
      <c r="HZ20" s="322">
        <f ca="1">IF(OFFSET('Player Game Board'!Q27,0,HY1)&lt;&gt;"",OFFSET('Player Game Board'!Q27,0,HY1),0)</f>
        <v>1</v>
      </c>
      <c r="IA20" s="319" t="str">
        <f t="shared" si="165"/>
        <v>Serbia</v>
      </c>
      <c r="IB20" s="319" t="str">
        <f ca="1">IF(AND(OFFSET('Player Game Board'!P27,0,HY1)&lt;&gt;"",OFFSET('Player Game Board'!Q27,0,HY1)&lt;&gt;""),IF(HY20&gt;HZ20,"W",IF(HY20=HZ20,"D","L")),"")</f>
        <v>D</v>
      </c>
      <c r="IC20" s="319" t="str">
        <f t="shared" ca="1" si="166"/>
        <v>D</v>
      </c>
      <c r="ID20" s="319"/>
      <c r="IE20" s="319"/>
      <c r="IF20" s="324" t="s">
        <v>101</v>
      </c>
      <c r="IG20" s="325" t="s">
        <v>103</v>
      </c>
      <c r="IH20" s="325" t="s">
        <v>104</v>
      </c>
      <c r="II20" s="325" t="s">
        <v>106</v>
      </c>
      <c r="IJ20" s="324" t="s">
        <v>106</v>
      </c>
      <c r="IK20" s="324" t="s">
        <v>104</v>
      </c>
      <c r="IL20" s="324" t="s">
        <v>103</v>
      </c>
      <c r="IM20" s="324" t="s">
        <v>101</v>
      </c>
      <c r="IN20" s="325"/>
      <c r="IO20" s="326">
        <f ca="1">IFERROR(MATCH(IO12,IF20:II20,0),0)</f>
        <v>1</v>
      </c>
      <c r="IP20" s="326">
        <f ca="1">IFERROR(MATCH(IP12,IF20:II20,0),0)</f>
        <v>3</v>
      </c>
      <c r="IQ20" s="326">
        <f ca="1">IFERROR(MATCH(IQ12,IF20:II20,0),0)</f>
        <v>4</v>
      </c>
      <c r="IR20" s="326">
        <f ca="1">IFERROR(MATCH(IR12,IF20:II20,0),0)</f>
        <v>0</v>
      </c>
      <c r="IS20" s="326">
        <f t="shared" ca="1" si="3544"/>
        <v>8</v>
      </c>
      <c r="IT20" s="325" t="s">
        <v>354</v>
      </c>
      <c r="IU20" s="325" t="str">
        <f ca="1">INDEX(IF3:IF8,MATCH(INDEX(IL13:IL27,MATCH(10,IS13:IS27,0),0),IT3:IT8,0),0)</f>
        <v>Scotland</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2</v>
      </c>
      <c r="JC20" s="319">
        <f ca="1">SUMIF(MY3:MY60,IX20,MW3:MW60)+SUMIF(MV3:MV60,IX20,MX3:MX60)</f>
        <v>3</v>
      </c>
      <c r="JD20" s="319">
        <f t="shared" ca="1" si="5048"/>
        <v>999</v>
      </c>
      <c r="JE20" s="319">
        <f t="shared" ca="1" si="5049"/>
        <v>2</v>
      </c>
      <c r="JF20" s="319">
        <f t="shared" si="618"/>
        <v>39</v>
      </c>
      <c r="JG20" s="319">
        <f ca="1">IF(COUNTIF(JE18:JE22,4)&lt;&gt;4,RANK(JE20,JE18:JE22),JE60)</f>
        <v>2</v>
      </c>
      <c r="JH20" s="319"/>
      <c r="JI20" s="319">
        <f ca="1">SUMPRODUCT((JG18:JG21=JG20)*(JF18:JF21&lt;JF20))+JG20</f>
        <v>3</v>
      </c>
      <c r="JJ20" s="319" t="str">
        <f ca="1">INDEX(IX18:IX22,MATCH(3,JI18:JI22,0),0)</f>
        <v>Slovenia</v>
      </c>
      <c r="JK20" s="319">
        <f ca="1">INDEX(JG18:JG22,MATCH(JJ20,IX18:IX22,0),0)</f>
        <v>2</v>
      </c>
      <c r="JL20" s="319" t="str">
        <f ca="1">IF(AND(JL19&lt;&gt;"",JK20=1),JJ20,"")</f>
        <v/>
      </c>
      <c r="JM20" s="319" t="str">
        <f ca="1">IF(AND(JM19&lt;&gt;"",JK21=2),JJ21,"")</f>
        <v>Denmark</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Slovenia</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2</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19">
        <f ca="1">KO20-KP20+1000</f>
        <v>1000</v>
      </c>
      <c r="KR20" s="319">
        <f t="shared" ca="1" si="5449"/>
        <v>2</v>
      </c>
      <c r="KS20" s="319">
        <f ca="1">IF(KK20&lt;&gt;"",VLOOKUP(KK20,IX4:JD40,7,FALSE),"")</f>
        <v>999</v>
      </c>
      <c r="KT20" s="319">
        <f ca="1">IF(KK20&lt;&gt;"",VLOOKUP(KK20,IX4:JD40,5,FALSE),"")</f>
        <v>2</v>
      </c>
      <c r="KU20" s="319">
        <f ca="1">IF(KK20&lt;&gt;"",VLOOKUP(KK20,IX4:JF40,9,FALSE),"")</f>
        <v>39</v>
      </c>
      <c r="KV20" s="319">
        <f t="shared" ca="1" si="5450"/>
        <v>2</v>
      </c>
      <c r="KW20" s="319">
        <f ca="1">IF(KK20&lt;&gt;"",RANK(KV20,KV18:KV22),"")</f>
        <v>1</v>
      </c>
      <c r="KX20" s="319">
        <f ca="1">IF(KK20&lt;&gt;"",SUMPRODUCT((KV18:KV22=KV20)*(KQ18:KQ22&gt;KQ20)),"")</f>
        <v>0</v>
      </c>
      <c r="KY20" s="319">
        <f ca="1">IF(KK20&lt;&gt;"",SUMPRODUCT((KV18:KV22=KV20)*(KQ18:KQ22=KQ20)*(KO18:KO22&gt;KO20)),"")</f>
        <v>0</v>
      </c>
      <c r="KZ20" s="319">
        <f ca="1">IF(KK20&lt;&gt;"",SUMPRODUCT((KV18:KV22=KV20)*(KQ18:KQ22=KQ20)*(KO18:KO22=KO20)*(KS18:KS22&gt;KS20)),"")</f>
        <v>0</v>
      </c>
      <c r="LA20" s="319">
        <f ca="1">IF(KK20&lt;&gt;"",SUMPRODUCT((KV18:KV22=KV20)*(KQ18:KQ22=KQ20)*(KO18:KO22=KO20)*(KS18:KS22=KS20)*(KT18:KT22&gt;KT20)),"")</f>
        <v>1</v>
      </c>
      <c r="LB20" s="319">
        <f ca="1">IF(KK20&lt;&gt;"",SUMPRODUCT((KV18:KV22=KV20)*(KQ18:KQ22=KQ20)*(KO18:KO22=KO20)*(KS18:KS22=KS20)*(KT18:KT22=KT20)*(KU18:KU22&gt;KU20)),"")</f>
        <v>0</v>
      </c>
      <c r="LC20" s="319">
        <f ca="1">IF(KK20&lt;&gt;"",IF(LC60&lt;&gt;"",IF(KJ57=3,LC60,LC60+KJ57),SUM(KW20:LB20)+1),"")</f>
        <v>3</v>
      </c>
      <c r="LD20" s="319" t="str">
        <f ca="1">IF(KK20&lt;&gt;"",INDEX(KK19:KK22,MATCH(3,LC19:LC22,0),0),"")</f>
        <v>Slovenia</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1</v>
      </c>
      <c r="MX20" s="322">
        <f ca="1">IF(OFFSET('Player Game Board'!Q27,0,MW1)&lt;&gt;"",OFFSET('Player Game Board'!Q27,0,MW1),0)</f>
        <v>1</v>
      </c>
      <c r="MY20" s="319" t="str">
        <f t="shared" si="171"/>
        <v>Serbia</v>
      </c>
      <c r="MZ20" s="319" t="str">
        <f ca="1">IF(AND(OFFSET('Player Game Board'!P27,0,MW1)&lt;&gt;"",OFFSET('Player Game Board'!Q27,0,MW1)&lt;&gt;""),IF(MW20&gt;MX20,"W",IF(MW20=MX20,"D","L")),"")</f>
        <v>D</v>
      </c>
      <c r="NA20" s="319" t="str">
        <f t="shared" ca="1" si="172"/>
        <v>D</v>
      </c>
      <c r="NB20" s="319"/>
      <c r="NC20" s="319"/>
      <c r="ND20" s="324" t="s">
        <v>101</v>
      </c>
      <c r="NE20" s="325" t="s">
        <v>103</v>
      </c>
      <c r="NF20" s="325" t="s">
        <v>104</v>
      </c>
      <c r="NG20" s="325" t="s">
        <v>106</v>
      </c>
      <c r="NH20" s="324" t="s">
        <v>106</v>
      </c>
      <c r="NI20" s="324" t="s">
        <v>104</v>
      </c>
      <c r="NJ20" s="324" t="s">
        <v>103</v>
      </c>
      <c r="NK20" s="324" t="s">
        <v>101</v>
      </c>
      <c r="NL20" s="325"/>
      <c r="NM20" s="326">
        <f ca="1">IFERROR(MATCH(NM12,ND20:NG20,0),0)</f>
        <v>0</v>
      </c>
      <c r="NN20" s="326">
        <f ca="1">IFERROR(MATCH(NN12,ND20:NG20,0),0)</f>
        <v>1</v>
      </c>
      <c r="NO20" s="326">
        <f ca="1">IFERROR(MATCH(NO12,ND20:NG20,0),0)</f>
        <v>4</v>
      </c>
      <c r="NP20" s="326">
        <f ca="1">IFERROR(MATCH(NP12,ND20:NG20,0),0)</f>
        <v>0</v>
      </c>
      <c r="NQ20" s="326">
        <f t="shared" ca="1" si="3547"/>
        <v>5</v>
      </c>
      <c r="NR20" s="325" t="s">
        <v>354</v>
      </c>
      <c r="NS20" s="325" t="str">
        <f ca="1">INDEX(ND3:ND8,MATCH(INDEX(NJ13:NJ27,MATCH(10,NQ13:NQ27,0),0),NR3:NR8,0),0)</f>
        <v>Croatia</v>
      </c>
      <c r="NT20" s="325">
        <f t="shared" ca="1" si="5052"/>
        <v>0</v>
      </c>
      <c r="NU20" s="319">
        <f t="shared" ref="NU20" ca="1" si="5952">VLOOKUP(NV20,RQ18:RR22,2,FALSE)</f>
        <v>4</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3</v>
      </c>
      <c r="NZ20" s="319">
        <f t="shared" ref="NZ20" ca="1" si="5956">SUMIF(RT3:RT60,NV20,RU3:RU60)+SUMIF(RW3:RW60,NV20,RV3:RV60)</f>
        <v>2</v>
      </c>
      <c r="OA20" s="319">
        <f t="shared" ref="OA20" ca="1" si="5957">SUMIF(RW3:RW60,NV20,RU3:RU60)+SUMIF(RT3:RT60,NV20,RV3:RV60)</f>
        <v>6</v>
      </c>
      <c r="OB20" s="319">
        <f t="shared" ca="1" si="5060"/>
        <v>996</v>
      </c>
      <c r="OC20" s="319">
        <f t="shared" ca="1" si="5061"/>
        <v>0</v>
      </c>
      <c r="OD20" s="319">
        <f t="shared" si="630"/>
        <v>39</v>
      </c>
      <c r="OE20" s="319">
        <f t="shared" ref="OE20" ca="1" si="5958">IF(COUNTIF(OC18:OC22,4)&lt;&gt;4,RANK(OC20,OC18:OC22),OC60)</f>
        <v>4</v>
      </c>
      <c r="OF20" s="319"/>
      <c r="OG20" s="319">
        <f t="shared" ref="OG20" ca="1" si="5959">SUMPRODUCT((OE18:OE21=OE20)*(OD18:OD21&lt;OD20))+OE20</f>
        <v>4</v>
      </c>
      <c r="OH20" s="319" t="str">
        <f t="shared" ref="OH20" ca="1" si="5960">INDEX(NV18:NV22,MATCH(3,OG18:OG22,0),0)</f>
        <v>Denmark</v>
      </c>
      <c r="OI20" s="319">
        <f t="shared" ref="OI20" ca="1" si="5961">INDEX(OE18:OE22,MATCH(OH20,NV18:NV22,0),0)</f>
        <v>2</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Denmark</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f t="shared" ca="1" si="5487"/>
        <v>1</v>
      </c>
      <c r="PQ20" s="319">
        <f t="shared" ref="PQ20" ca="1" si="5985">IF(PI20&lt;&gt;"",VLOOKUP(PI20,NV4:OB40,7,FALSE),"")</f>
        <v>1000</v>
      </c>
      <c r="PR20" s="319">
        <f t="shared" ref="PR20" ca="1" si="5986">IF(PI20&lt;&gt;"",VLOOKUP(PI20,NV4:OB40,5,FALSE),"")</f>
        <v>3</v>
      </c>
      <c r="PS20" s="319">
        <f t="shared" ref="PS20" ca="1" si="5987">IF(PI20&lt;&gt;"",VLOOKUP(PI20,NV4:OD40,9,FALSE),"")</f>
        <v>45</v>
      </c>
      <c r="PT20" s="319">
        <f t="shared" ca="1" si="5491"/>
        <v>1</v>
      </c>
      <c r="PU20" s="319">
        <f t="shared" ref="PU20" ca="1" si="5988">IF(PI20&lt;&gt;"",RANK(PT20,PT18:PT22),"")</f>
        <v>1</v>
      </c>
      <c r="PV20" s="319">
        <f t="shared" ref="PV20" ca="1" si="5989">IF(PI20&lt;&gt;"",SUMPRODUCT((PT18:PT22=PT20)*(PO18:PO22&gt;PO20)),"")</f>
        <v>0</v>
      </c>
      <c r="PW20" s="319">
        <f t="shared" ref="PW20" ca="1" si="5990">IF(PI20&lt;&gt;"",SUMPRODUCT((PT18:PT22=PT20)*(PO18:PO22=PO20)*(PM18:PM22&gt;PM20)),"")</f>
        <v>0</v>
      </c>
      <c r="PX20" s="319">
        <f t="shared" ref="PX20" ca="1" si="5991">IF(PI20&lt;&gt;"",SUMPRODUCT((PT18:PT22=PT20)*(PO18:PO22=PO20)*(PM18:PM22=PM20)*(PQ18:PQ22&gt;PQ20)),"")</f>
        <v>1</v>
      </c>
      <c r="PY20" s="319">
        <f t="shared" ref="PY20" ca="1" si="5992">IF(PI20&lt;&gt;"",SUMPRODUCT((PT18:PT22=PT20)*(PO18:PO22=PO20)*(PM18:PM22=PM20)*(PQ18:PQ22=PQ20)*(PR18:PR22&gt;PR20)),"")</f>
        <v>0</v>
      </c>
      <c r="PZ20" s="319">
        <f t="shared" ref="PZ20" ca="1" si="5993">IF(PI20&lt;&gt;"",SUMPRODUCT((PT18:PT22=PT20)*(PO18:PO22=PO20)*(PM18:PM22=PM20)*(PQ18:PQ22=PQ20)*(PR18:PR22=PR20)*(PS18:PS22&gt;PS20)),"")</f>
        <v>0</v>
      </c>
      <c r="QA20" s="319">
        <f ca="1">IF(PI20&lt;&gt;"",IF(QA60&lt;&gt;"",IF(PH57=3,QA60,QA60+PH57),SUM(PU20:PZ20)+1),"")</f>
        <v>3</v>
      </c>
      <c r="QB20" s="319" t="str">
        <f t="shared" ref="QB20" ca="1" si="5994">IF(PI20&lt;&gt;"",INDEX(PI19:PI22,MATCH(3,QA19:QA22,0),0),"")</f>
        <v>Denmark</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Denmark</v>
      </c>
      <c r="RR20" s="319">
        <v>3</v>
      </c>
      <c r="RS20" s="319">
        <v>18</v>
      </c>
      <c r="RT20" s="319" t="str">
        <f t="shared" si="18"/>
        <v>Slovenia</v>
      </c>
      <c r="RU20" s="322">
        <f ca="1">IF(OFFSET('Player Game Board'!P27,0,RU1)&lt;&gt;"",OFFSET('Player Game Board'!P27,0,RU1),0)</f>
        <v>0</v>
      </c>
      <c r="RV20" s="322">
        <f ca="1">IF(OFFSET('Player Game Board'!Q27,0,RU1)&lt;&gt;"",OFFSET('Player Game Board'!Q27,0,RU1),0)</f>
        <v>2</v>
      </c>
      <c r="RW20" s="319" t="str">
        <f t="shared" si="19"/>
        <v>Serbia</v>
      </c>
      <c r="RX20" s="319" t="str">
        <f ca="1">IF(AND(OFFSET('Player Game Board'!P27,0,RU1)&lt;&gt;"",OFFSET('Player Game Board'!Q27,0,RU1)&lt;&gt;""),IF(RU20&gt;RV20,"W",IF(RU20=RV20,"D","L")),"")</f>
        <v>L</v>
      </c>
      <c r="RY20" s="319" t="str">
        <f t="shared" ca="1" si="5500"/>
        <v>W</v>
      </c>
      <c r="RZ20" s="319"/>
      <c r="SA20" s="319"/>
      <c r="SB20" s="324" t="s">
        <v>101</v>
      </c>
      <c r="SC20" s="325" t="s">
        <v>103</v>
      </c>
      <c r="SD20" s="325" t="s">
        <v>104</v>
      </c>
      <c r="SE20" s="325" t="s">
        <v>106</v>
      </c>
      <c r="SF20" s="324" t="s">
        <v>106</v>
      </c>
      <c r="SG20" s="324" t="s">
        <v>104</v>
      </c>
      <c r="SH20" s="324" t="s">
        <v>103</v>
      </c>
      <c r="SI20" s="324" t="s">
        <v>101</v>
      </c>
      <c r="SJ20" s="325"/>
      <c r="SK20" s="326">
        <f t="shared" ref="SK20" ca="1" si="6016">IFERROR(MATCH(SK12,SB20:SE20,0),0)</f>
        <v>2</v>
      </c>
      <c r="SL20" s="326">
        <f t="shared" ref="SL20" ca="1" si="6017">IFERROR(MATCH(SL12,SB20:SE20,0),0)</f>
        <v>0</v>
      </c>
      <c r="SM20" s="326">
        <f t="shared" ref="SM20" ca="1" si="6018">IFERROR(MATCH(SM12,SB20:SE20,0),0)</f>
        <v>4</v>
      </c>
      <c r="SN20" s="326">
        <f t="shared" ref="SN20" ca="1" si="6019">IFERROR(MATCH(SN12,SB20:SE20,0),0)</f>
        <v>0</v>
      </c>
      <c r="SO20" s="326">
        <f t="shared" ca="1" si="3616"/>
        <v>6</v>
      </c>
      <c r="SP20" s="325" t="s">
        <v>354</v>
      </c>
      <c r="SQ20" s="325" t="str">
        <f t="shared" ref="SQ20" ca="1" si="6020">INDEX(SB3:SB8,MATCH(INDEX(SH13:SH27,MATCH(10,SO13:SO27,0),0),SP3:SP8,0),0)</f>
        <v>Denmark</v>
      </c>
      <c r="SR20" s="325">
        <f t="shared" ca="1" si="5095"/>
        <v>1</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1</v>
      </c>
      <c r="SW20" s="319">
        <f t="shared" ref="SW20" ca="1" si="6024">SUMPRODUCT((WR3:WR42=ST20)*(WV3:WV42="L"))+SUMPRODUCT((WU3:WU42=ST20)*(WW3:WW42="L"))</f>
        <v>2</v>
      </c>
      <c r="SX20" s="319">
        <f t="shared" ref="SX20" ca="1" si="6025">SUMIF(WR3:WR60,ST20,WS3:WS60)+SUMIF(WU3:WU60,ST20,WT3:WT60)</f>
        <v>2</v>
      </c>
      <c r="SY20" s="319">
        <f t="shared" ref="SY20" ca="1" si="6026">SUMIF(WU3:WU60,ST20,WS3:WS60)+SUMIF(WR3:WR60,ST20,WT3:WT60)</f>
        <v>5</v>
      </c>
      <c r="SZ20" s="319">
        <f t="shared" ca="1" si="5103"/>
        <v>997</v>
      </c>
      <c r="TA20" s="319">
        <f t="shared" ca="1" si="5104"/>
        <v>1</v>
      </c>
      <c r="TB20" s="319">
        <f t="shared" si="690"/>
        <v>39</v>
      </c>
      <c r="TC20" s="319">
        <f t="shared" ref="TC20" ca="1" si="6027">IF(COUNTIF(TA18:TA22,4)&lt;&gt;4,RANK(TA20,TA18:TA22),TA60)</f>
        <v>3</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Serbia</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f t="shared" ref="VH20:VH21" ca="1" si="6071">IF(VA20&lt;&gt;"",VB20*3+VC20*1,"")</f>
        <v>1</v>
      </c>
      <c r="VI20" s="319">
        <f t="shared" ref="VI20" ca="1" si="6072">IF(VA20&lt;&gt;"",VLOOKUP(VA20,ST4:SZ40,7,FALSE),"")</f>
        <v>997</v>
      </c>
      <c r="VJ20" s="319">
        <f t="shared" ref="VJ20" ca="1" si="6073">IF(VA20&lt;&gt;"",VLOOKUP(VA20,ST4:SZ40,5,FALSE),"")</f>
        <v>0</v>
      </c>
      <c r="VK20" s="319">
        <f t="shared" ref="VK20" ca="1" si="6074">IF(VA20&lt;&gt;"",VLOOKUP(VA20,ST4:TB40,9,FALSE),"")</f>
        <v>35</v>
      </c>
      <c r="VL20" s="319">
        <f t="shared" ref="VL20:VL21" ca="1" si="6075">VH20</f>
        <v>1</v>
      </c>
      <c r="VM20" s="319">
        <f t="shared" ref="VM20" ca="1" si="6076">IF(VA20&lt;&gt;"",RANK(VL20,VL18:VL22),"")</f>
        <v>1</v>
      </c>
      <c r="VN20" s="319">
        <f t="shared" ref="VN20" ca="1" si="6077">IF(VA20&lt;&gt;"",SUMPRODUCT((VL18:VL22=VL20)*(VG18:VG22&gt;VG20)),"")</f>
        <v>0</v>
      </c>
      <c r="VO20" s="319">
        <f t="shared" ref="VO20" ca="1" si="6078">IF(VA20&lt;&gt;"",SUMPRODUCT((VL18:VL22=VL20)*(VG18:VG22=VG20)*(VE18:VE22&gt;VE20)),"")</f>
        <v>0</v>
      </c>
      <c r="VP20" s="319">
        <f t="shared" ref="VP20" ca="1" si="6079">IF(VA20&lt;&gt;"",SUMPRODUCT((VL18:VL22=VL20)*(VG18:VG22=VG20)*(VE18:VE22=VE20)*(VI18:VI22&gt;VI20)),"")</f>
        <v>0</v>
      </c>
      <c r="VQ20" s="319">
        <f t="shared" ref="VQ20" ca="1" si="6080">IF(VA20&lt;&gt;"",SUMPRODUCT((VL18:VL22=VL20)*(VG18:VG22=VG20)*(VE18:VE22=VE20)*(VI18:VI22=VI20)*(VJ18:VJ22&gt;VJ20)),"")</f>
        <v>1</v>
      </c>
      <c r="VR20" s="319">
        <f t="shared" ref="VR20" ca="1" si="6081">IF(VA20&lt;&gt;"",SUMPRODUCT((VL18:VL22=VL20)*(VG18:VG22=VG20)*(VE18:VE22=VE20)*(VI18:VI22=VI20)*(VJ18:VJ22=VJ20)*(VK18:VK22&gt;VK20)),"")</f>
        <v>0</v>
      </c>
      <c r="VS20" s="319">
        <f t="shared" ref="VS20:VS21" ca="1" si="6082">IF(VA20&lt;&gt;"",SUM(VM20:VR20)+2,"")</f>
        <v>4</v>
      </c>
      <c r="VT20" s="319" t="str">
        <f t="shared" ref="VT20" ca="1" si="6083">IF(VA20&lt;&gt;"",INDEX(VA20:VA22,MATCH(3,VS20:VS22,0),0),"")</f>
        <v>Slovenia</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D</v>
      </c>
      <c r="WW20" s="319" t="str">
        <f t="shared" ca="1" si="5555"/>
        <v>D</v>
      </c>
      <c r="WX20" s="319"/>
      <c r="WY20" s="319"/>
      <c r="WZ20" s="324" t="s">
        <v>101</v>
      </c>
      <c r="XA20" s="325" t="s">
        <v>103</v>
      </c>
      <c r="XB20" s="325" t="s">
        <v>104</v>
      </c>
      <c r="XC20" s="325" t="s">
        <v>106</v>
      </c>
      <c r="XD20" s="324" t="s">
        <v>106</v>
      </c>
      <c r="XE20" s="324" t="s">
        <v>104</v>
      </c>
      <c r="XF20" s="324" t="s">
        <v>103</v>
      </c>
      <c r="XG20" s="324" t="s">
        <v>101</v>
      </c>
      <c r="XH20" s="325"/>
      <c r="XI20" s="326">
        <f t="shared" ref="XI20" ca="1" si="6085">IFERROR(MATCH(XI12,WZ20:XC20,0),0)</f>
        <v>4</v>
      </c>
      <c r="XJ20" s="326">
        <f t="shared" ref="XJ20" ca="1" si="6086">IFERROR(MATCH(XJ12,WZ20:XC20,0),0)</f>
        <v>0</v>
      </c>
      <c r="XK20" s="326">
        <f t="shared" ref="XK20" ca="1" si="6087">IFERROR(MATCH(XK12,WZ20:XC20,0),0)</f>
        <v>0</v>
      </c>
      <c r="XL20" s="326">
        <f t="shared" ref="XL20" ca="1" si="6088">IFERROR(MATCH(XL12,WZ20:XC20,0),0)</f>
        <v>1</v>
      </c>
      <c r="XM20" s="326">
        <f t="shared" ca="1" si="3686"/>
        <v>5</v>
      </c>
      <c r="XN20" s="325" t="s">
        <v>354</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0</v>
      </c>
      <c r="XU20" s="319">
        <f t="shared" ref="XU20" ca="1" si="6093">SUMPRODUCT((ABP3:ABP42=XR20)*(ABT3:ABT42="L"))+SUMPRODUCT((ABS3:ABS42=XR20)*(ABU3:ABU42="L"))</f>
        <v>3</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0</v>
      </c>
      <c r="XZ20" s="319">
        <f t="shared" si="750"/>
        <v>39</v>
      </c>
      <c r="YA20" s="319">
        <f t="shared" ref="YA20" ca="1" si="6096">IF(COUNTIF(XY18:XY22,4)&lt;&gt;4,RANK(XY20,XY18:XY22),XY60)</f>
        <v>4</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t="str">
        <f t="shared" ref="AAF20:AAF21" ca="1" si="6140">IF(ZY20&lt;&gt;"",ZZ20*3+AAA20*1,"")</f>
        <v/>
      </c>
      <c r="AAG20" s="319" t="str">
        <f t="shared" ref="AAG20" ca="1" si="6141">IF(ZY20&lt;&gt;"",VLOOKUP(ZY20,XR4:XX40,7,FALSE),"")</f>
        <v/>
      </c>
      <c r="AAH20" s="319" t="str">
        <f t="shared" ref="AAH20" ca="1" si="6142">IF(ZY20&lt;&gt;"",VLOOKUP(ZY20,XR4:XX40,5,FALSE),"")</f>
        <v/>
      </c>
      <c r="AAI20" s="319" t="str">
        <f t="shared" ref="AAI20" ca="1" si="6143">IF(ZY20&lt;&gt;"",VLOOKUP(ZY20,XR4:XZ40,9,FALSE),"")</f>
        <v/>
      </c>
      <c r="AAJ20" s="319" t="str">
        <f t="shared" ref="AAJ20:AAJ21" ca="1" si="6144">AAF20</f>
        <v/>
      </c>
      <c r="AAK20" s="319" t="str">
        <f t="shared" ref="AAK20" ca="1" si="6145">IF(ZY20&lt;&gt;"",RANK(AAJ20,AAJ18:AAJ22),"")</f>
        <v/>
      </c>
      <c r="AAL20" s="319" t="str">
        <f t="shared" ref="AAL20" ca="1" si="6146">IF(ZY20&lt;&gt;"",SUMPRODUCT((AAJ18:AAJ22=AAJ20)*(AAE18:AAE22&gt;AAE20)),"")</f>
        <v/>
      </c>
      <c r="AAM20" s="319" t="str">
        <f t="shared" ref="AAM20" ca="1" si="6147">IF(ZY20&lt;&gt;"",SUMPRODUCT((AAJ18:AAJ22=AAJ20)*(AAE18:AAE22=AAE20)*(AAC18:AAC22&gt;AAC20)),"")</f>
        <v/>
      </c>
      <c r="AAN20" s="319" t="str">
        <f t="shared" ref="AAN20" ca="1" si="6148">IF(ZY20&lt;&gt;"",SUMPRODUCT((AAJ18:AAJ22=AAJ20)*(AAE18:AAE22=AAE20)*(AAC18:AAC22=AAC20)*(AAG18:AAG22&gt;AAG20)),"")</f>
        <v/>
      </c>
      <c r="AAO20" s="319" t="str">
        <f t="shared" ref="AAO20" ca="1" si="6149">IF(ZY20&lt;&gt;"",SUMPRODUCT((AAJ18:AAJ22=AAJ20)*(AAE18:AAE22=AAE20)*(AAC18:AAC22=AAC20)*(AAG18:AAG22=AAG20)*(AAH18:AAH22&gt;AAH20)),"")</f>
        <v/>
      </c>
      <c r="AAP20" s="319" t="str">
        <f t="shared" ref="AAP20" ca="1" si="6150">IF(ZY20&lt;&gt;"",SUMPRODUCT((AAJ18:AAJ22=AAJ20)*(AAE18:AAE22=AAE20)*(AAC18:AAC22=AAC20)*(AAG18:AAG22=AAG20)*(AAH18:AAH22=AAH20)*(AAI18:AAI22&gt;AAI20)),"")</f>
        <v/>
      </c>
      <c r="AAQ20" s="319" t="str">
        <f t="shared" ref="AAQ20:AAQ21" ca="1" si="6151">IF(ZY20&lt;&gt;"",SUM(AAK20:AAP20)+2,"")</f>
        <v/>
      </c>
      <c r="AAR20" s="319" t="str">
        <f t="shared" ref="AAR20" ca="1" si="6152">IF(ZY20&lt;&gt;"",INDEX(ZY20:ZY22,MATCH(3,AAQ20:AAQ22,0),0),"")</f>
        <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2</v>
      </c>
      <c r="ABS20" s="319" t="str">
        <f t="shared" si="51"/>
        <v>Serbia</v>
      </c>
      <c r="ABT20" s="319" t="str">
        <f ca="1">IF(AND(OFFSET('Player Game Board'!P27,0,ABQ1)&lt;&gt;"",OFFSET('Player Game Board'!Q27,0,ABQ1)&lt;&gt;""),IF(ABQ20&gt;ABR20,"W",IF(ABQ20=ABR20,"D","L")),"")</f>
        <v>L</v>
      </c>
      <c r="ABU20" s="319" t="str">
        <f t="shared" ca="1" si="5610"/>
        <v>W</v>
      </c>
      <c r="ABV20" s="319"/>
      <c r="ABW20" s="319"/>
      <c r="ABX20" s="324" t="s">
        <v>101</v>
      </c>
      <c r="ABY20" s="325" t="s">
        <v>103</v>
      </c>
      <c r="ABZ20" s="325" t="s">
        <v>104</v>
      </c>
      <c r="ACA20" s="325" t="s">
        <v>106</v>
      </c>
      <c r="ACB20" s="324" t="s">
        <v>106</v>
      </c>
      <c r="ACC20" s="324" t="s">
        <v>104</v>
      </c>
      <c r="ACD20" s="324" t="s">
        <v>103</v>
      </c>
      <c r="ACE20" s="324" t="s">
        <v>101</v>
      </c>
      <c r="ACF20" s="325"/>
      <c r="ACG20" s="326">
        <f t="shared" ref="ACG20" ca="1" si="6154">IFERROR(MATCH(ACG12,ABX20:ACA20,0),0)</f>
        <v>2</v>
      </c>
      <c r="ACH20" s="326">
        <f t="shared" ref="ACH20" ca="1" si="6155">IFERROR(MATCH(ACH12,ABX20:ACA20,0),0)</f>
        <v>0</v>
      </c>
      <c r="ACI20" s="326">
        <f t="shared" ref="ACI20" ca="1" si="6156">IFERROR(MATCH(ACI12,ABX20:ACA20,0),0)</f>
        <v>3</v>
      </c>
      <c r="ACJ20" s="326">
        <f t="shared" ref="ACJ20" ca="1" si="6157">IFERROR(MATCH(ACJ12,ABX20:ACA20,0),0)</f>
        <v>1</v>
      </c>
      <c r="ACK20" s="326">
        <f t="shared" ca="1" si="3756"/>
        <v>6</v>
      </c>
      <c r="ACL20" s="325" t="s">
        <v>354</v>
      </c>
      <c r="ACM20" s="325" t="str">
        <f t="shared" ref="ACM20" ca="1" si="6158">INDEX(ABX3:ABX8,MATCH(INDEX(ACD13:ACD27,MATCH(10,ACK13:ACK27,0),0),ACL3:ACL8,0),0)</f>
        <v>Spain</v>
      </c>
      <c r="ACN20" s="325">
        <f t="shared" ca="1" si="5181"/>
        <v>1</v>
      </c>
      <c r="ACO20" s="319">
        <f t="shared" ref="ACO20" ca="1" si="6159">VLOOKUP(ACP20,AGK18:AGL22,2,FALSE)</f>
        <v>4</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3</v>
      </c>
      <c r="ACT20" s="319">
        <f t="shared" ref="ACT20" ca="1" si="6163">SUMIF(AGN3:AGN60,ACP20,AGO3:AGO60)+SUMIF(AGQ3:AGQ60,ACP20,AGP3:AGP60)</f>
        <v>1</v>
      </c>
      <c r="ACU20" s="319">
        <f t="shared" ref="ACU20" ca="1" si="6164">SUMIF(AGQ3:AGQ60,ACP20,AGO3:AGO60)+SUMIF(AGN3:AGN60,ACP20,AGP3:AGP60)</f>
        <v>7</v>
      </c>
      <c r="ACV20" s="319">
        <f t="shared" ca="1" si="5189"/>
        <v>994</v>
      </c>
      <c r="ACW20" s="319">
        <f t="shared" ca="1" si="5190"/>
        <v>0</v>
      </c>
      <c r="ACX20" s="319">
        <f t="shared" si="810"/>
        <v>39</v>
      </c>
      <c r="ACY20" s="319">
        <f t="shared" ref="ACY20" ca="1" si="6165">IF(COUNTIF(ACW18:ACW22,4)&lt;&gt;4,RANK(ACW20,ACW18:ACW22),ACW60)</f>
        <v>4</v>
      </c>
      <c r="ACZ20" s="319"/>
      <c r="ADA20" s="319">
        <f t="shared" ref="ADA20" ca="1" si="6166">SUMPRODUCT((ACY18:ACY21=ACY20)*(ACX18:ACX21&lt;ACX20))+ACY20</f>
        <v>4</v>
      </c>
      <c r="ADB20" s="319" t="str">
        <f t="shared" ref="ADB20" ca="1" si="6167">INDEX(ACP18:ACP22,MATCH(3,ADA18:ADA22,0),0)</f>
        <v>Serbia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Serbia</v>
      </c>
      <c r="AGL20" s="319">
        <v>3</v>
      </c>
      <c r="AGM20" s="319">
        <v>18</v>
      </c>
      <c r="AGN20" s="319" t="str">
        <f t="shared" si="66"/>
        <v>Slovenia</v>
      </c>
      <c r="AGO20" s="322">
        <f ca="1">IF(OFFSET('Player Game Board'!P27,0,AGO1)&lt;&gt;"",OFFSET('Player Game Board'!P27,0,AGO1),0)</f>
        <v>1</v>
      </c>
      <c r="AGP20" s="322">
        <f ca="1">IF(OFFSET('Player Game Board'!Q27,0,AGO1)&lt;&gt;"",OFFSET('Player Game Board'!Q27,0,AGO1),0)</f>
        <v>2</v>
      </c>
      <c r="AGQ20" s="319" t="str">
        <f t="shared" si="67"/>
        <v>Serbia</v>
      </c>
      <c r="AGR20" s="319" t="str">
        <f ca="1">IF(AND(OFFSET('Player Game Board'!P27,0,AGO1)&lt;&gt;"",OFFSET('Player Game Board'!Q27,0,AGO1)&lt;&gt;""),IF(AGO20&gt;AGP20,"W",IF(AGO20=AGP20,"D","L")),"")</f>
        <v>L</v>
      </c>
      <c r="AGS20" s="319" t="str">
        <f t="shared" ca="1" si="5665"/>
        <v>W</v>
      </c>
      <c r="AGT20" s="319"/>
      <c r="AGU20" s="319"/>
      <c r="AGV20" s="324" t="s">
        <v>101</v>
      </c>
      <c r="AGW20" s="325" t="s">
        <v>103</v>
      </c>
      <c r="AGX20" s="325" t="s">
        <v>104</v>
      </c>
      <c r="AGY20" s="325" t="s">
        <v>106</v>
      </c>
      <c r="AGZ20" s="324" t="s">
        <v>106</v>
      </c>
      <c r="AHA20" s="324" t="s">
        <v>104</v>
      </c>
      <c r="AHB20" s="324" t="s">
        <v>103</v>
      </c>
      <c r="AHC20" s="324" t="s">
        <v>101</v>
      </c>
      <c r="AHD20" s="325"/>
      <c r="AHE20" s="326">
        <f t="shared" ref="AHE20" ca="1" si="6223">IFERROR(MATCH(AHE12,AGV20:AGY20,0),0)</f>
        <v>4</v>
      </c>
      <c r="AHF20" s="326">
        <f t="shared" ref="AHF20" ca="1" si="6224">IFERROR(MATCH(AHF12,AGV20:AGY20,0),0)</f>
        <v>1</v>
      </c>
      <c r="AHG20" s="326">
        <f t="shared" ref="AHG20" ca="1" si="6225">IFERROR(MATCH(AHG12,AGV20:AGY20,0),0)</f>
        <v>0</v>
      </c>
      <c r="AHH20" s="326">
        <f t="shared" ref="AHH20" ca="1" si="6226">IFERROR(MATCH(AHH12,AGV20:AGY20,0),0)</f>
        <v>2</v>
      </c>
      <c r="AHI20" s="326">
        <f t="shared" ca="1" si="3826"/>
        <v>7</v>
      </c>
      <c r="AHJ20" s="325" t="s">
        <v>354</v>
      </c>
      <c r="AHK20" s="325" t="str">
        <f t="shared" ref="AHK20" ca="1" si="6227">INDEX(AGV3:AGV8,MATCH(INDEX(AHB13:AHB27,MATCH(10,AHI13:AHI27,0),0),AHJ3:AHJ8,0),0)</f>
        <v>Croatia</v>
      </c>
      <c r="AHL20" s="325">
        <f t="shared" ca="1" si="5224"/>
        <v>0</v>
      </c>
      <c r="AHM20" s="319">
        <f t="shared" ref="AHM20" ca="1" si="6228">VLOOKUP(AHN20,ALI18:ALJ22,2,FALSE)</f>
        <v>4</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3</v>
      </c>
      <c r="AHR20" s="319">
        <f t="shared" ref="AHR20" ca="1" si="6232">SUMIF(ALL3:ALL60,AHN20,ALM3:ALM60)+SUMIF(ALO3:ALO60,AHN20,ALN3:ALN60)</f>
        <v>1</v>
      </c>
      <c r="AHS20" s="319">
        <f t="shared" ref="AHS20" ca="1" si="6233">SUMIF(ALO3:ALO60,AHN20,ALM3:ALM60)+SUMIF(ALL3:ALL60,AHN20,ALN3:ALN60)</f>
        <v>7</v>
      </c>
      <c r="AHT20" s="319">
        <f t="shared" ca="1" si="5232"/>
        <v>994</v>
      </c>
      <c r="AHU20" s="319">
        <f t="shared" ca="1" si="5233"/>
        <v>0</v>
      </c>
      <c r="AHV20" s="319">
        <f t="shared" si="870"/>
        <v>39</v>
      </c>
      <c r="AHW20" s="319">
        <f t="shared" ref="AHW20" ca="1" si="6234">IF(COUNTIF(AHU18:AHU22,4)&lt;&gt;4,RANK(AHU20,AHU18:AHU22),AHU60)</f>
        <v>4</v>
      </c>
      <c r="AHX20" s="319"/>
      <c r="AHY20" s="319">
        <f t="shared" ref="AHY20" ca="1" si="6235">SUMPRODUCT((AHW18:AHW21=AHW20)*(AHV18:AHV21&lt;AHV20))+AHW20</f>
        <v>4</v>
      </c>
      <c r="AHZ20" s="319" t="str">
        <f t="shared" ref="AHZ20" ca="1" si="6236">INDEX(AHN18:AHN22,MATCH(3,AHY18:AHY22,0),0)</f>
        <v>Denmark</v>
      </c>
      <c r="AIA20" s="319">
        <f t="shared" ref="AIA20" ca="1" si="6237">INDEX(AHW18:AHW22,MATCH(AHZ20,AHN18:AHN22,0),0)</f>
        <v>2</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Denmark</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19">
        <f t="shared" ca="1" si="5706"/>
        <v>1000</v>
      </c>
      <c r="AJH20" s="319">
        <f t="shared" ca="1" si="5707"/>
        <v>1</v>
      </c>
      <c r="AJI20" s="319">
        <f t="shared" ref="AJI20" ca="1" si="6261">IF(AJA20&lt;&gt;"",VLOOKUP(AJA20,AHN4:AHT40,7,FALSE),"")</f>
        <v>1001</v>
      </c>
      <c r="AJJ20" s="319">
        <f t="shared" ref="AJJ20" ca="1" si="6262">IF(AJA20&lt;&gt;"",VLOOKUP(AJA20,AHN4:AHT40,5,FALSE),"")</f>
        <v>6</v>
      </c>
      <c r="AJK20" s="319">
        <f t="shared" ref="AJK20" ca="1" si="6263">IF(AJA20&lt;&gt;"",VLOOKUP(AJA20,AHN4:AHV40,9,FALSE),"")</f>
        <v>45</v>
      </c>
      <c r="AJL20" s="319">
        <f t="shared" ca="1" si="5711"/>
        <v>1</v>
      </c>
      <c r="AJM20" s="319">
        <f t="shared" ref="AJM20" ca="1" si="6264">IF(AJA20&lt;&gt;"",RANK(AJL20,AJL18:AJL22),"")</f>
        <v>1</v>
      </c>
      <c r="AJN20" s="319">
        <f t="shared" ref="AJN20" ca="1" si="6265">IF(AJA20&lt;&gt;"",SUMPRODUCT((AJL18:AJL22=AJL20)*(AJG18:AJG22&gt;AJG20)),"")</f>
        <v>0</v>
      </c>
      <c r="AJO20" s="319">
        <f t="shared" ref="AJO20" ca="1" si="6266">IF(AJA20&lt;&gt;"",SUMPRODUCT((AJL18:AJL22=AJL20)*(AJG18:AJG22=AJG20)*(AJE18:AJE22&gt;AJE20)),"")</f>
        <v>0</v>
      </c>
      <c r="AJP20" s="319">
        <f t="shared" ref="AJP20" ca="1" si="6267">IF(AJA20&lt;&gt;"",SUMPRODUCT((AJL18:AJL22=AJL20)*(AJG18:AJG22=AJG20)*(AJE18:AJE22=AJE20)*(AJI18:AJI22&gt;AJI20)),"")</f>
        <v>0</v>
      </c>
      <c r="AJQ20" s="319">
        <f t="shared" ref="AJQ20" ca="1" si="6268">IF(AJA20&lt;&gt;"",SUMPRODUCT((AJL18:AJL22=AJL20)*(AJG18:AJG22=AJG20)*(AJE18:AJE22=AJE20)*(AJI18:AJI22=AJI20)*(AJJ18:AJJ22&gt;AJJ20)),"")</f>
        <v>0</v>
      </c>
      <c r="AJR20" s="319">
        <f t="shared" ref="AJR20" ca="1" si="6269">IF(AJA20&lt;&gt;"",SUMPRODUCT((AJL18:AJL22=AJL20)*(AJG18:AJG22=AJG20)*(AJE18:AJE22=AJE20)*(AJI18:AJI22=AJI20)*(AJJ18:AJJ22=AJJ20)*(AJK18:AJK22&gt;AJK20)),"")</f>
        <v>0</v>
      </c>
      <c r="AJS20" s="319">
        <f ca="1">IF(AJA20&lt;&gt;"",IF(AJS60&lt;&gt;"",IF(AIZ57=3,AJS60,AJS60+AIZ57),SUM(AJM20:AJR20)+1),"")</f>
        <v>2</v>
      </c>
      <c r="AJT20" s="319" t="str">
        <f t="shared" ref="AJT20" ca="1" si="6270">IF(AJA20&lt;&gt;"",INDEX(AJA19:AJA22,MATCH(3,AJS19:AJS22,0),0),"")</f>
        <v>Serbia</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Serbia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2</v>
      </c>
      <c r="ALO20" s="319" t="str">
        <f t="shared" si="83"/>
        <v>Serbia</v>
      </c>
      <c r="ALP20" s="319" t="str">
        <f ca="1">IF(AND(OFFSET('Player Game Board'!P27,0,ALM1)&lt;&gt;"",OFFSET('Player Game Board'!Q27,0,ALM1)&lt;&gt;""),IF(ALM20&gt;ALN20,"W",IF(ALM20=ALN20,"D","L")),"")</f>
        <v>L</v>
      </c>
      <c r="ALQ20" s="319" t="str">
        <f t="shared" ca="1" si="5720"/>
        <v>W</v>
      </c>
      <c r="ALR20" s="319"/>
      <c r="ALS20" s="319"/>
      <c r="ALT20" s="324" t="s">
        <v>101</v>
      </c>
      <c r="ALU20" s="325" t="s">
        <v>103</v>
      </c>
      <c r="ALV20" s="325" t="s">
        <v>104</v>
      </c>
      <c r="ALW20" s="325" t="s">
        <v>106</v>
      </c>
      <c r="ALX20" s="324" t="s">
        <v>106</v>
      </c>
      <c r="ALY20" s="324" t="s">
        <v>104</v>
      </c>
      <c r="ALZ20" s="324" t="s">
        <v>103</v>
      </c>
      <c r="AMA20" s="324" t="s">
        <v>101</v>
      </c>
      <c r="AMB20" s="325"/>
      <c r="AMC20" s="326">
        <f t="shared" ref="AMC20" ca="1" si="6292">IFERROR(MATCH(AMC12,ALT20:ALW20,0),0)</f>
        <v>0</v>
      </c>
      <c r="AMD20" s="326">
        <f t="shared" ref="AMD20" ca="1" si="6293">IFERROR(MATCH(AMD12,ALT20:ALW20,0),0)</f>
        <v>2</v>
      </c>
      <c r="AME20" s="326">
        <f t="shared" ref="AME20" ca="1" si="6294">IFERROR(MATCH(AME12,ALT20:ALW20,0),0)</f>
        <v>4</v>
      </c>
      <c r="AMF20" s="326">
        <f t="shared" ref="AMF20" ca="1" si="6295">IFERROR(MATCH(AMF12,ALT20:ALW20,0),0)</f>
        <v>0</v>
      </c>
      <c r="AMG20" s="326">
        <f t="shared" ca="1" si="3896"/>
        <v>6</v>
      </c>
      <c r="AMH20" s="325" t="s">
        <v>354</v>
      </c>
      <c r="AMI20" s="325" t="str">
        <f t="shared" ref="AMI20" ca="1" si="6296">INDEX(ALT3:ALT8,MATCH(INDEX(ALZ13:ALZ27,MATCH(10,AMG13:AMG27,0),0),AMH3:AMH8,0),0)</f>
        <v>Serbia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101</v>
      </c>
      <c r="AQS20" s="325" t="s">
        <v>103</v>
      </c>
      <c r="AQT20" s="325" t="s">
        <v>104</v>
      </c>
      <c r="AQU20" s="325" t="s">
        <v>106</v>
      </c>
      <c r="AQV20" s="324" t="s">
        <v>106</v>
      </c>
      <c r="AQW20" s="324" t="s">
        <v>104</v>
      </c>
      <c r="AQX20" s="324" t="s">
        <v>103</v>
      </c>
      <c r="AQY20" s="324" t="s">
        <v>101</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354</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101</v>
      </c>
      <c r="AVQ20" s="325" t="s">
        <v>103</v>
      </c>
      <c r="AVR20" s="325" t="s">
        <v>104</v>
      </c>
      <c r="AVS20" s="325" t="s">
        <v>106</v>
      </c>
      <c r="AVT20" s="324" t="s">
        <v>106</v>
      </c>
      <c r="AVU20" s="324" t="s">
        <v>104</v>
      </c>
      <c r="AVV20" s="324" t="s">
        <v>103</v>
      </c>
      <c r="AVW20" s="324" t="s">
        <v>101</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354</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101</v>
      </c>
      <c r="BAO20" s="325" t="s">
        <v>103</v>
      </c>
      <c r="BAP20" s="325" t="s">
        <v>104</v>
      </c>
      <c r="BAQ20" s="325" t="s">
        <v>106</v>
      </c>
      <c r="BAR20" s="324" t="s">
        <v>106</v>
      </c>
      <c r="BAS20" s="324" t="s">
        <v>104</v>
      </c>
      <c r="BAT20" s="324" t="s">
        <v>103</v>
      </c>
      <c r="BAU20" s="324" t="s">
        <v>101</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354</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101</v>
      </c>
      <c r="BFM20" s="325" t="s">
        <v>103</v>
      </c>
      <c r="BFN20" s="325" t="s">
        <v>104</v>
      </c>
      <c r="BFO20" s="325" t="s">
        <v>106</v>
      </c>
      <c r="BFP20" s="324" t="s">
        <v>106</v>
      </c>
      <c r="BFQ20" s="324" t="s">
        <v>104</v>
      </c>
      <c r="BFR20" s="324" t="s">
        <v>103</v>
      </c>
      <c r="BFS20" s="324" t="s">
        <v>101</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354</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101</v>
      </c>
      <c r="DI21" s="325" t="s">
        <v>103</v>
      </c>
      <c r="DJ21" s="325" t="s">
        <v>105</v>
      </c>
      <c r="DK21" s="325" t="s">
        <v>106</v>
      </c>
      <c r="DL21" s="324" t="s">
        <v>105</v>
      </c>
      <c r="DM21" s="324" t="s">
        <v>106</v>
      </c>
      <c r="DN21" s="324" t="s">
        <v>103</v>
      </c>
      <c r="DO21" s="324" t="s">
        <v>101</v>
      </c>
      <c r="DP21" s="325"/>
      <c r="DQ21" s="326">
        <f>IFERROR(MATCH(DQ12,DH21:DK21,0),0)</f>
        <v>0</v>
      </c>
      <c r="DR21" s="326">
        <f>IFERROR(MATCH(DR12,DH21:DK21,0),0)</f>
        <v>3</v>
      </c>
      <c r="DS21" s="326">
        <f>IFERROR(MATCH(DS12,DH21:DK21,0),0)</f>
        <v>2</v>
      </c>
      <c r="DT21" s="326">
        <f>IFERROR(MATCH(DT12,DH21:DK21,0),0)</f>
        <v>0</v>
      </c>
      <c r="DU21" s="326">
        <f t="shared" si="3541"/>
        <v>5</v>
      </c>
      <c r="DV21" s="325" t="s">
        <v>359</v>
      </c>
      <c r="DW21" s="325" t="str">
        <f>INDEX(DH3:DH8,MATCH(INDEX(DO13:DO27,MATCH(10,DU13:DU27,0),0),DV3:DV8,0),0)</f>
        <v>Slovenia</v>
      </c>
      <c r="DX21" s="325"/>
      <c r="DY21" s="319">
        <f ca="1">VLOOKUP(DZ21,HU18:HV22,2,FALSE)</f>
        <v>1</v>
      </c>
      <c r="DZ21" s="319" t="str">
        <f t="shared" si="5443"/>
        <v>Denmark</v>
      </c>
      <c r="EA21" s="319">
        <f ca="1">SUMPRODUCT((HX3:HX42=DZ21)*(IB3:IB42="W"))+SUMPRODUCT((IA3:IA42=DZ21)*(IC3:IC42="W"))</f>
        <v>2</v>
      </c>
      <c r="EB21" s="319">
        <f ca="1">SUMPRODUCT((HX3:HX42=DZ21)*(IB3:IB42="D"))+SUMPRODUCT((IA3:IA42=DZ21)*(IC3:IC42="D"))</f>
        <v>1</v>
      </c>
      <c r="EC21" s="319">
        <f ca="1">SUMPRODUCT((HX3:HX42=DZ21)*(IB3:IB42="L"))+SUMPRODUCT((IA3:IA42=DZ21)*(IC3:IC42="L"))</f>
        <v>0</v>
      </c>
      <c r="ED21" s="319">
        <f ca="1">SUMIF(HX3:HX60,DZ21,HY3:HY60)+SUMIF(IA3:IA60,DZ21,HZ3:HZ60)</f>
        <v>7</v>
      </c>
      <c r="EE21" s="319">
        <f ca="1">SUMIF(IA3:IA60,DZ21,HY3:HY60)+SUMIF(HX3:HX60,DZ21,HZ3:HZ60)</f>
        <v>3</v>
      </c>
      <c r="EF21" s="319">
        <f t="shared" ca="1" si="5043"/>
        <v>1004</v>
      </c>
      <c r="EG21" s="319">
        <f t="shared" ca="1" si="5044"/>
        <v>7</v>
      </c>
      <c r="EH21" s="319">
        <f t="shared" si="609"/>
        <v>45</v>
      </c>
      <c r="EI21" s="319">
        <f ca="1">IF(COUNTIF(EG18:EG22,4)&lt;&gt;4,RANK(EG21,EG18:EG22),EG61)</f>
        <v>1</v>
      </c>
      <c r="EJ21" s="319"/>
      <c r="EK21" s="319">
        <f ca="1">SUMPRODUCT((EI18:EI21=EI21)*(EH18:EH21&lt;EH21))+EI21</f>
        <v>1</v>
      </c>
      <c r="EL21" s="319" t="str">
        <f ca="1">INDEX(DZ18:DZ22,MATCH(4,EK18:EK22,0),0)</f>
        <v>Serbia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Serbia</v>
      </c>
      <c r="HV21" s="319">
        <v>4</v>
      </c>
      <c r="HW21" s="319">
        <v>19</v>
      </c>
      <c r="HX21" s="319" t="str">
        <f t="shared" si="164"/>
        <v>Poland</v>
      </c>
      <c r="HY21" s="322">
        <f ca="1">IF(OFFSET('Player Game Board'!P28,0,HY1)&lt;&gt;"",OFFSET('Player Game Board'!P28,0,HY1),0)</f>
        <v>1</v>
      </c>
      <c r="HZ21" s="322">
        <f ca="1">IF(OFFSET('Player Game Board'!Q28,0,HY1)&lt;&gt;"",OFFSET('Player Game Board'!Q28,0,HY1),0)</f>
        <v>2</v>
      </c>
      <c r="IA21" s="319" t="str">
        <f t="shared" si="165"/>
        <v>Austria</v>
      </c>
      <c r="IB21" s="319" t="str">
        <f ca="1">IF(AND(OFFSET('Player Game Board'!P28,0,HY1)&lt;&gt;"",OFFSET('Player Game Board'!Q28,0,HY1)&lt;&gt;""),IF(HY21&gt;HZ21,"W",IF(HY21=HZ21,"D","L")),"")</f>
        <v>L</v>
      </c>
      <c r="IC21" s="319" t="str">
        <f t="shared" ca="1" si="166"/>
        <v>W</v>
      </c>
      <c r="ID21" s="319"/>
      <c r="IE21" s="319"/>
      <c r="IF21" s="324" t="s">
        <v>101</v>
      </c>
      <c r="IG21" s="325" t="s">
        <v>103</v>
      </c>
      <c r="IH21" s="325" t="s">
        <v>105</v>
      </c>
      <c r="II21" s="325" t="s">
        <v>106</v>
      </c>
      <c r="IJ21" s="324" t="s">
        <v>105</v>
      </c>
      <c r="IK21" s="324" t="s">
        <v>106</v>
      </c>
      <c r="IL21" s="324" t="s">
        <v>103</v>
      </c>
      <c r="IM21" s="324" t="s">
        <v>101</v>
      </c>
      <c r="IN21" s="325"/>
      <c r="IO21" s="326">
        <f ca="1">IFERROR(MATCH(IO12,IF21:II21,0),0)</f>
        <v>1</v>
      </c>
      <c r="IP21" s="326">
        <f ca="1">IFERROR(MATCH(IP12,IF21:II21,0),0)</f>
        <v>0</v>
      </c>
      <c r="IQ21" s="326">
        <f ca="1">IFERROR(MATCH(IQ12,IF21:II21,0),0)</f>
        <v>4</v>
      </c>
      <c r="IR21" s="326">
        <f ca="1">IFERROR(MATCH(IR12,IF21:II21,0),0)</f>
        <v>0</v>
      </c>
      <c r="IS21" s="326">
        <f t="shared" ca="1" si="3544"/>
        <v>5</v>
      </c>
      <c r="IT21" s="325" t="s">
        <v>359</v>
      </c>
      <c r="IU21" s="325" t="str">
        <f ca="1">INDEX(IF3:IF8,MATCH(INDEX(IM13:IM27,MATCH(10,IS13:IS27,0),0),IT3:IT8,0),0)</f>
        <v>Croatia</v>
      </c>
      <c r="IV21" s="325">
        <f t="shared" ca="1" si="5047"/>
        <v>0</v>
      </c>
      <c r="IW21" s="319">
        <f ca="1">VLOOKUP(IX21,MS18:MT22,2,FALSE)</f>
        <v>2</v>
      </c>
      <c r="IX21" s="319" t="str">
        <f t="shared" si="5447"/>
        <v>Denmark</v>
      </c>
      <c r="IY21" s="319">
        <f ca="1">SUMPRODUCT((MV3:MV42=IX21)*(MZ3:MZ42="W"))+SUMPRODUCT((MY3:MY42=IX21)*(NA3:NA42="W"))</f>
        <v>0</v>
      </c>
      <c r="IZ21" s="319">
        <f ca="1">SUMPRODUCT((MV3:MV42=IX21)*(MZ3:MZ42="D"))+SUMPRODUCT((MY3:MY42=IX21)*(NA3:NA42="D"))</f>
        <v>2</v>
      </c>
      <c r="JA21" s="319">
        <f ca="1">SUMPRODUCT((MV3:MV42=IX21)*(MZ3:MZ42="L"))+SUMPRODUCT((MY3:MY42=IX21)*(NA3:NA42="L"))</f>
        <v>1</v>
      </c>
      <c r="JB21" s="319">
        <f ca="1">SUMIF(MV3:MV60,IX21,MW3:MW60)+SUMIF(MY3:MY60,IX21,MX3:MX60)</f>
        <v>3</v>
      </c>
      <c r="JC21" s="319">
        <f ca="1">SUMIF(MY3:MY60,IX21,MW3:MW60)+SUMIF(MV3:MV60,IX21,MX3:MX60)</f>
        <v>4</v>
      </c>
      <c r="JD21" s="319">
        <f t="shared" ca="1" si="5048"/>
        <v>999</v>
      </c>
      <c r="JE21" s="319">
        <f t="shared" ca="1" si="5049"/>
        <v>2</v>
      </c>
      <c r="JF21" s="319">
        <f t="shared" si="618"/>
        <v>45</v>
      </c>
      <c r="JG21" s="319">
        <f ca="1">IF(COUNTIF(JE18:JE22,4)&lt;&gt;4,RANK(JE21,JE18:JE22),JE61)</f>
        <v>2</v>
      </c>
      <c r="JH21" s="319"/>
      <c r="JI21" s="319">
        <f ca="1">SUMPRODUCT((JG18:JG21=JG21)*(JF18:JF21&lt;JF21))+JG21</f>
        <v>4</v>
      </c>
      <c r="JJ21" s="319" t="str">
        <f ca="1">INDEX(IX18:IX22,MATCH(4,JI18:JI22,0),0)</f>
        <v>Denmark</v>
      </c>
      <c r="JK21" s="319">
        <f ca="1">INDEX(JG18:JG22,MATCH(JJ21,IX18:IX22,0),0)</f>
        <v>2</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Denmark</v>
      </c>
      <c r="KL21" s="319">
        <f ca="1">IF(KK21&lt;&gt;"",SUMPRODUCT((MV3:MV42=KK21)*(MY3:MY42=KK22)*(MZ3:MZ42="W"))+SUMPRODUCT((MV3:MV42=KK21)*(MY3:MY42=KK19)*(MZ3:MZ42="W"))+SUMPRODUCT((MV3:MV42=KK21)*(MY3:MY42=KK20)*(MZ3:MZ42="W"))+SUMPRODUCT((MV3:MV42=KK22)*(MY3:MY42=KK21)*(NA3:NA42="W"))+SUMPRODUCT((MV3:MV42=KK19)*(MY3:MY42=KK21)*(NA3:NA42="W"))+SUMPRODUCT((MV3:MV42=KK20)*(MY3:MY42=KK21)*(NA3:NA42="W")),"")</f>
        <v>0</v>
      </c>
      <c r="KM21" s="319">
        <f ca="1">IF(KK21&lt;&gt;"",SUMPRODUCT((MV3:MV42=KK21)*(MY3:MY42=KK22)*(MZ3:MZ42="D"))+SUMPRODUCT((MV3:MV42=KK21)*(MY3:MY42=KK19)*(MZ3:MZ42="D"))+SUMPRODUCT((MV3:MV42=KK21)*(MY3:MY42=KK20)*(MZ3:MZ42="D"))+SUMPRODUCT((MV3:MV42=KK22)*(MY3:MY42=KK21)*(MZ3:MZ42="D"))+SUMPRODUCT((MV3:MV42=KK19)*(MY3:MY42=KK21)*(MZ3:MZ42="D"))+SUMPRODUCT((MV3:MV42=KK20)*(MY3:MY42=KK21)*(MZ3:MZ42="D")),"")</f>
        <v>2</v>
      </c>
      <c r="KN21" s="319">
        <f ca="1">IF(KK21&lt;&gt;"",SUMPRODUCT((MV3:MV42=KK21)*(MY3:MY42=KK22)*(MZ3:MZ42="L"))+SUMPRODUCT((MV3:MV42=KK21)*(MY3:MY42=KK19)*(MZ3:MZ42="L"))+SUMPRODUCT((MV3:MV42=KK21)*(MY3:MY42=KK20)*(MZ3:MZ42="L"))+SUMPRODUCT((MV3:MV42=KK22)*(MY3:MY42=KK21)*(NA3:NA42="L"))+SUMPRODUCT((MV3:MV42=KK19)*(MY3:MY42=KK21)*(NA3:NA42="L"))+SUMPRODUCT((MV3:MV42=KK20)*(MY3:MY42=KK21)*(NA3:NA42="L")),"")</f>
        <v>0</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19">
        <f ca="1">KO21-KP21+1000</f>
        <v>1000</v>
      </c>
      <c r="KR21" s="319">
        <f t="shared" ca="1" si="5449"/>
        <v>2</v>
      </c>
      <c r="KS21" s="319">
        <f ca="1">IF(KK21&lt;&gt;"",VLOOKUP(KK21,IX4:JD40,7,FALSE),"")</f>
        <v>999</v>
      </c>
      <c r="KT21" s="319">
        <f ca="1">IF(KK21&lt;&gt;"",VLOOKUP(KK21,IX4:JD40,5,FALSE),"")</f>
        <v>3</v>
      </c>
      <c r="KU21" s="319">
        <f ca="1">IF(KK21&lt;&gt;"",VLOOKUP(KK21,IX4:JF40,9,FALSE),"")</f>
        <v>45</v>
      </c>
      <c r="KV21" s="319">
        <f t="shared" ca="1" si="5450"/>
        <v>2</v>
      </c>
      <c r="KW21" s="319">
        <f ca="1">IF(KK21&lt;&gt;"",RANK(KV21,KV18:KV22),"")</f>
        <v>1</v>
      </c>
      <c r="KX21" s="319">
        <f ca="1">IF(KK21&lt;&gt;"",SUMPRODUCT((KV18:KV22=KV21)*(KQ18:KQ22&gt;KQ21)),"")</f>
        <v>0</v>
      </c>
      <c r="KY21" s="319">
        <f ca="1">IF(KK21&lt;&gt;"",SUMPRODUCT((KV18:KV22=KV21)*(KQ18:KQ22=KQ21)*(KO18:KO22&gt;KO21)),"")</f>
        <v>0</v>
      </c>
      <c r="KZ21" s="319">
        <f ca="1">IF(KK21&lt;&gt;"",SUMPRODUCT((KV18:KV22=KV21)*(KQ18:KQ22=KQ21)*(KO18:KO22=KO21)*(KS18:KS22&gt;KS21)),"")</f>
        <v>0</v>
      </c>
      <c r="LA21" s="319">
        <f ca="1">IF(KK21&lt;&gt;"",SUMPRODUCT((KV18:KV22=KV21)*(KQ18:KQ22=KQ21)*(KO18:KO22=KO21)*(KS18:KS22=KS21)*(KT18:KT22&gt;KT21)),"")</f>
        <v>0</v>
      </c>
      <c r="LB21" s="319">
        <f ca="1">IF(KK21&lt;&gt;"",SUMPRODUCT((KV18:KV22=KV21)*(KQ18:KQ22=KQ21)*(KO18:KO22=KO21)*(KS18:KS22=KS21)*(KT18:KT22=KT21)*(KU18:KU22&gt;KU21)),"")</f>
        <v>0</v>
      </c>
      <c r="LC21" s="319">
        <f ca="1">IF(KK21&lt;&gt;"",IF(LC61&lt;&gt;"",IF(KJ57=3,LC61,LC61+KJ57),SUM(KW21:LB21)+1),"")</f>
        <v>2</v>
      </c>
      <c r="LD21" s="319" t="str">
        <f ca="1">IF(KK21&lt;&gt;"",INDEX(KK19:KK22,MATCH(4,LC19:LC22,0),0),"")</f>
        <v>Serbia</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1</v>
      </c>
      <c r="MX21" s="322">
        <f ca="1">IF(OFFSET('Player Game Board'!Q28,0,MW1)&lt;&gt;"",OFFSET('Player Game Board'!Q28,0,MW1),0)</f>
        <v>0</v>
      </c>
      <c r="MY21" s="319" t="str">
        <f t="shared" si="171"/>
        <v>Austria</v>
      </c>
      <c r="MZ21" s="319" t="str">
        <f ca="1">IF(AND(OFFSET('Player Game Board'!P28,0,MW1)&lt;&gt;"",OFFSET('Player Game Board'!Q28,0,MW1)&lt;&gt;""),IF(MW21&gt;MX21,"W",IF(MW21=MX21,"D","L")),"")</f>
        <v>W</v>
      </c>
      <c r="NA21" s="319" t="str">
        <f t="shared" ca="1" si="172"/>
        <v>L</v>
      </c>
      <c r="NB21" s="319"/>
      <c r="NC21" s="319"/>
      <c r="ND21" s="324" t="s">
        <v>101</v>
      </c>
      <c r="NE21" s="325" t="s">
        <v>103</v>
      </c>
      <c r="NF21" s="325" t="s">
        <v>105</v>
      </c>
      <c r="NG21" s="325" t="s">
        <v>106</v>
      </c>
      <c r="NH21" s="324" t="s">
        <v>105</v>
      </c>
      <c r="NI21" s="324" t="s">
        <v>106</v>
      </c>
      <c r="NJ21" s="324" t="s">
        <v>103</v>
      </c>
      <c r="NK21" s="324" t="s">
        <v>101</v>
      </c>
      <c r="NL21" s="325"/>
      <c r="NM21" s="326">
        <f ca="1">IFERROR(MATCH(NM12,ND21:NG21,0),0)</f>
        <v>0</v>
      </c>
      <c r="NN21" s="326">
        <f ca="1">IFERROR(MATCH(NN12,ND21:NG21,0),0)</f>
        <v>1</v>
      </c>
      <c r="NO21" s="326">
        <f ca="1">IFERROR(MATCH(NO12,ND21:NG21,0),0)</f>
        <v>4</v>
      </c>
      <c r="NP21" s="326">
        <f ca="1">IFERROR(MATCH(NP12,ND21:NG21,0),0)</f>
        <v>3</v>
      </c>
      <c r="NQ21" s="326">
        <f t="shared" ca="1" si="3547"/>
        <v>8</v>
      </c>
      <c r="NR21" s="325" t="s">
        <v>359</v>
      </c>
      <c r="NS21" s="325" t="str">
        <f ca="1">INDEX(ND3:ND8,MATCH(INDEX(NK13:NK27,MATCH(10,NQ13:NQ27,0),0),NR3:NR8,0),0)</f>
        <v>Hungary</v>
      </c>
      <c r="NT21" s="325">
        <f t="shared" ca="1" si="5052"/>
        <v>0</v>
      </c>
      <c r="NU21" s="319">
        <f t="shared" ref="NU21" ca="1" si="6579">VLOOKUP(NV21,RQ18:RR22,2,FALSE)</f>
        <v>3</v>
      </c>
      <c r="NV21" s="319" t="str">
        <f t="shared" si="5054"/>
        <v>Denmark</v>
      </c>
      <c r="NW21" s="319">
        <f t="shared" ref="NW21" ca="1" si="6580">SUMPRODUCT((RT3:RT42=NV21)*(RX3:RX42="W"))+SUMPRODUCT((RW3:RW42=NV21)*(RY3:RY42="W"))</f>
        <v>1</v>
      </c>
      <c r="NX21" s="319">
        <f t="shared" ref="NX21" ca="1" si="6581">SUMPRODUCT((RT3:RT42=NV21)*(RX3:RX42="D"))+SUMPRODUCT((RW3:RW42=NV21)*(RY3:RY42="D"))</f>
        <v>1</v>
      </c>
      <c r="NY21" s="319">
        <f t="shared" ref="NY21" ca="1" si="6582">SUMPRODUCT((RT3:RT42=NV21)*(RX3:RX42="L"))+SUMPRODUCT((RW3:RW42=NV21)*(RY3:RY42="L"))</f>
        <v>1</v>
      </c>
      <c r="NZ21" s="319">
        <f t="shared" ref="NZ21" ca="1" si="6583">SUMIF(RT3:RT60,NV21,RU3:RU60)+SUMIF(RW3:RW60,NV21,RV3:RV60)</f>
        <v>3</v>
      </c>
      <c r="OA21" s="319">
        <f t="shared" ref="OA21" ca="1" si="6584">SUMIF(RW3:RW60,NV21,RU3:RU60)+SUMIF(RT3:RT60,NV21,RV3:RV60)</f>
        <v>3</v>
      </c>
      <c r="OB21" s="319">
        <f t="shared" ca="1" si="5060"/>
        <v>1000</v>
      </c>
      <c r="OC21" s="319">
        <f t="shared" ca="1" si="5061"/>
        <v>4</v>
      </c>
      <c r="OD21" s="319">
        <f t="shared" si="630"/>
        <v>45</v>
      </c>
      <c r="OE21" s="319">
        <f t="shared" ref="OE21" ca="1" si="6585">IF(COUNTIF(OC18:OC22,4)&lt;&gt;4,RANK(OC21,OC18:OC22),OC61)</f>
        <v>2</v>
      </c>
      <c r="OF21" s="319"/>
      <c r="OG21" s="319">
        <f t="shared" ref="OG21" ca="1" si="6586">SUMPRODUCT((OE18:OE21=OE21)*(OD18:OD21&lt;OD21))+OE21</f>
        <v>3</v>
      </c>
      <c r="OH21" s="319" t="str">
        <f t="shared" ref="OH21" ca="1" si="6587">INDEX(NV18:NV22,MATCH(4,OG18:OG22,0),0)</f>
        <v>Slovenia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Slovenia</v>
      </c>
      <c r="RR21" s="319">
        <v>4</v>
      </c>
      <c r="RS21" s="319">
        <v>19</v>
      </c>
      <c r="RT21" s="319" t="str">
        <f t="shared" si="18"/>
        <v>Poland</v>
      </c>
      <c r="RU21" s="322">
        <f ca="1">IF(OFFSET('Player Game Board'!P28,0,RU1)&lt;&gt;"",OFFSET('Player Game Board'!P28,0,RU1),0)</f>
        <v>1</v>
      </c>
      <c r="RV21" s="322">
        <f ca="1">IF(OFFSET('Player Game Board'!Q28,0,RU1)&lt;&gt;"",OFFSET('Player Game Board'!Q28,0,RU1),0)</f>
        <v>1</v>
      </c>
      <c r="RW21" s="319" t="str">
        <f t="shared" si="19"/>
        <v>Austria</v>
      </c>
      <c r="RX21" s="319" t="str">
        <f ca="1">IF(AND(OFFSET('Player Game Board'!P28,0,RU1)&lt;&gt;"",OFFSET('Player Game Board'!Q28,0,RU1)&lt;&gt;""),IF(RU21&gt;RV21,"W",IF(RU21=RV21,"D","L")),"")</f>
        <v>D</v>
      </c>
      <c r="RY21" s="319" t="str">
        <f t="shared" ca="1" si="5500"/>
        <v>D</v>
      </c>
      <c r="RZ21" s="319"/>
      <c r="SA21" s="319"/>
      <c r="SB21" s="324" t="s">
        <v>101</v>
      </c>
      <c r="SC21" s="325" t="s">
        <v>103</v>
      </c>
      <c r="SD21" s="325" t="s">
        <v>105</v>
      </c>
      <c r="SE21" s="325" t="s">
        <v>106</v>
      </c>
      <c r="SF21" s="324" t="s">
        <v>105</v>
      </c>
      <c r="SG21" s="324" t="s">
        <v>106</v>
      </c>
      <c r="SH21" s="324" t="s">
        <v>103</v>
      </c>
      <c r="SI21" s="324" t="s">
        <v>101</v>
      </c>
      <c r="SJ21" s="325"/>
      <c r="SK21" s="326">
        <f t="shared" ref="SK21" ca="1" si="6655">IFERROR(MATCH(SK12,SB21:SE21,0),0)</f>
        <v>2</v>
      </c>
      <c r="SL21" s="326">
        <f t="shared" ref="SL21" ca="1" si="6656">IFERROR(MATCH(SL12,SB21:SE21,0),0)</f>
        <v>0</v>
      </c>
      <c r="SM21" s="326">
        <f t="shared" ref="SM21" ca="1" si="6657">IFERROR(MATCH(SM12,SB21:SE21,0),0)</f>
        <v>4</v>
      </c>
      <c r="SN21" s="326">
        <f t="shared" ref="SN21" ca="1" si="6658">IFERROR(MATCH(SN12,SB21:SE21,0),0)</f>
        <v>3</v>
      </c>
      <c r="SO21" s="326">
        <f t="shared" ca="1" si="3616"/>
        <v>9</v>
      </c>
      <c r="SP21" s="325" t="s">
        <v>359</v>
      </c>
      <c r="SQ21" s="325" t="str">
        <f t="shared" ref="SQ21" ca="1" si="6659">INDEX(SB3:SB8,MATCH(INDEX(SI13:SI27,MATCH(10,SO13:SO27,0),0),SP3:SP8,0),0)</f>
        <v>Croatia</v>
      </c>
      <c r="SR21" s="325">
        <f t="shared" ca="1" si="5095"/>
        <v>0</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0</v>
      </c>
      <c r="SW21" s="319">
        <f t="shared" ref="SW21" ca="1" si="6663">SUMPRODUCT((WR3:WR42=ST21)*(WV3:WV42="L"))+SUMPRODUCT((WU3:WU42=ST21)*(WW3:WW42="L"))</f>
        <v>1</v>
      </c>
      <c r="SX21" s="319">
        <f t="shared" ref="SX21" ca="1" si="6664">SUMIF(WR3:WR60,ST21,WS3:WS60)+SUMIF(WU3:WU60,ST21,WT3:WT60)</f>
        <v>4</v>
      </c>
      <c r="SY21" s="319">
        <f t="shared" ref="SY21" ca="1" si="6665">SUMIF(WU3:WU60,ST21,WS3:WS60)+SUMIF(WR3:WR60,ST21,WT3:WT60)</f>
        <v>3</v>
      </c>
      <c r="SZ21" s="319">
        <f t="shared" ca="1" si="5103"/>
        <v>1001</v>
      </c>
      <c r="TA21" s="319">
        <f t="shared" ca="1" si="5104"/>
        <v>6</v>
      </c>
      <c r="TB21" s="319">
        <f t="shared" si="690"/>
        <v>45</v>
      </c>
      <c r="TC21" s="319">
        <f t="shared" ref="TC21" ca="1" si="6666">IF(COUNTIF(TA18:TA22,4)&lt;&gt;4,RANK(TA21,TA18:TA22),TA61)</f>
        <v>2</v>
      </c>
      <c r="TD21" s="319"/>
      <c r="TE21" s="319">
        <f t="shared" ref="TE21" ca="1" si="6667">SUMPRODUCT((TC18:TC21=TC21)*(TB18:TB21&lt;TB21))+TC21</f>
        <v>2</v>
      </c>
      <c r="TF21" s="319" t="str">
        <f t="shared" ref="TF21" ca="1" si="6668">INDEX(ST18:ST22,MATCH(4,TE18:TE22,0),0)</f>
        <v>Slovenia</v>
      </c>
      <c r="TG21" s="319">
        <f t="shared" ref="TG21" ca="1" si="6669">INDEX(TC18:TC22,MATCH(TF21,ST18:ST22,0),0)</f>
        <v>3</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Slovenia</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f t="shared" ca="1" si="6071"/>
        <v>1</v>
      </c>
      <c r="VI21" s="319">
        <f t="shared" ref="VI21" ca="1" si="6705">IF(VA21&lt;&gt;"",VLOOKUP(VA21,ST4:SZ40,7,FALSE),"")</f>
        <v>997</v>
      </c>
      <c r="VJ21" s="319">
        <f t="shared" ref="VJ21" ca="1" si="6706">IF(VA21&lt;&gt;"",VLOOKUP(VA21,ST4:SZ40,5,FALSE),"")</f>
        <v>2</v>
      </c>
      <c r="VK21" s="319">
        <f t="shared" ref="VK21" ca="1" si="6707">IF(VA21&lt;&gt;"",VLOOKUP(VA21,ST4:TB40,9,FALSE),"")</f>
        <v>39</v>
      </c>
      <c r="VL21" s="319">
        <f t="shared" ca="1" si="6075"/>
        <v>1</v>
      </c>
      <c r="VM21" s="319">
        <f t="shared" ref="VM21" ca="1" si="6708">IF(VA21&lt;&gt;"",RANK(VL21,VL18:VL22),"")</f>
        <v>1</v>
      </c>
      <c r="VN21" s="319">
        <f t="shared" ref="VN21" ca="1" si="6709">IF(VA21&lt;&gt;"",SUMPRODUCT((VL18:VL22=VL21)*(VG18:VG22&gt;VG21)),"")</f>
        <v>0</v>
      </c>
      <c r="VO21" s="319">
        <f t="shared" ref="VO21" ca="1" si="6710">IF(VA21&lt;&gt;"",SUMPRODUCT((VL18:VL22=VL21)*(VG18:VG22=VG21)*(VE18:VE22&gt;VE21)),"")</f>
        <v>0</v>
      </c>
      <c r="VP21" s="319">
        <f t="shared" ref="VP21" ca="1" si="6711">IF(VA21&lt;&gt;"",SUMPRODUCT((VL18:VL22=VL21)*(VG18:VG22=VG21)*(VE18:VE22=VE21)*(VI18:VI22&gt;VI21)),"")</f>
        <v>0</v>
      </c>
      <c r="VQ21" s="319">
        <f t="shared" ref="VQ21" ca="1" si="6712">IF(VA21&lt;&gt;"",SUMPRODUCT((VL18:VL22=VL21)*(VG18:VG22=VG21)*(VE18:VE22=VE21)*(VI18:VI22=VI21)*(VJ18:VJ22&gt;VJ21)),"")</f>
        <v>0</v>
      </c>
      <c r="VR21" s="319">
        <f t="shared" ref="VR21" ca="1" si="6713">IF(VA21&lt;&gt;"",SUMPRODUCT((VL18:VL22=VL21)*(VG18:VG22=VG21)*(VE18:VE22=VE21)*(VI18:VI22=VI21)*(VJ18:VJ22=VJ21)*(VK18:VK22&gt;VK21)),"")</f>
        <v>0</v>
      </c>
      <c r="VS21" s="319">
        <f t="shared" ca="1" si="6082"/>
        <v>3</v>
      </c>
      <c r="VT21" s="319" t="str">
        <f t="shared" ref="VT21" ca="1" si="6714">IF(VA21&lt;&gt;"",INDEX(VA20:VA22,MATCH(4,VS20:VS22,0),0),"")</f>
        <v>Serbia</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2</v>
      </c>
      <c r="WT21" s="322">
        <f ca="1">IF(OFFSET('Player Game Board'!Q28,0,WS1)&lt;&gt;"",OFFSET('Player Game Board'!Q28,0,WS1),0)</f>
        <v>2</v>
      </c>
      <c r="WU21" s="319" t="str">
        <f t="shared" si="35"/>
        <v>Austria</v>
      </c>
      <c r="WV21" s="319" t="str">
        <f ca="1">IF(AND(OFFSET('Player Game Board'!P28,0,WS1)&lt;&gt;"",OFFSET('Player Game Board'!Q28,0,WS1)&lt;&gt;""),IF(WS21&gt;WT21,"W",IF(WS21=WT21,"D","L")),"")</f>
        <v>D</v>
      </c>
      <c r="WW21" s="319" t="str">
        <f t="shared" ca="1" si="5555"/>
        <v>D</v>
      </c>
      <c r="WX21" s="319"/>
      <c r="WY21" s="319"/>
      <c r="WZ21" s="324" t="s">
        <v>101</v>
      </c>
      <c r="XA21" s="325" t="s">
        <v>103</v>
      </c>
      <c r="XB21" s="325" t="s">
        <v>105</v>
      </c>
      <c r="XC21" s="325" t="s">
        <v>106</v>
      </c>
      <c r="XD21" s="324" t="s">
        <v>105</v>
      </c>
      <c r="XE21" s="324" t="s">
        <v>106</v>
      </c>
      <c r="XF21" s="324" t="s">
        <v>103</v>
      </c>
      <c r="XG21" s="324" t="s">
        <v>101</v>
      </c>
      <c r="XH21" s="325"/>
      <c r="XI21" s="326">
        <f t="shared" ref="XI21" ca="1" si="6736">IFERROR(MATCH(XI12,WZ21:XC21,0),0)</f>
        <v>4</v>
      </c>
      <c r="XJ21" s="326">
        <f t="shared" ref="XJ21" ca="1" si="6737">IFERROR(MATCH(XJ12,WZ21:XC21,0),0)</f>
        <v>3</v>
      </c>
      <c r="XK21" s="326">
        <f t="shared" ref="XK21" ca="1" si="6738">IFERROR(MATCH(XK12,WZ21:XC21,0),0)</f>
        <v>0</v>
      </c>
      <c r="XL21" s="326">
        <f t="shared" ref="XL21" ca="1" si="6739">IFERROR(MATCH(XL12,WZ21:XC21,0),0)</f>
        <v>1</v>
      </c>
      <c r="XM21" s="326">
        <f t="shared" ca="1" si="3686"/>
        <v>8</v>
      </c>
      <c r="XN21" s="325" t="s">
        <v>359</v>
      </c>
      <c r="XO21" s="325" t="str">
        <f t="shared" ref="XO21" ca="1" si="6740">INDEX(WZ3:WZ8,MATCH(INDEX(XG13:XG27,MATCH(10,XM13:XM27,0),0),XN3:XN8,0),0)</f>
        <v>Scotland</v>
      </c>
      <c r="XP21" s="325">
        <f t="shared" ca="1" si="5138"/>
        <v>0</v>
      </c>
      <c r="XQ21" s="319">
        <f t="shared" ref="XQ21" ca="1" si="6741">VLOOKUP(XR21,ABM18:ABN22,2,FALSE)</f>
        <v>1</v>
      </c>
      <c r="XR21" s="319" t="str">
        <f t="shared" si="5140"/>
        <v>Denmark</v>
      </c>
      <c r="XS21" s="319">
        <f t="shared" ref="XS21" ca="1" si="6742">SUMPRODUCT((ABP3:ABP42=XR21)*(ABT3:ABT42="W"))+SUMPRODUCT((ABS3:ABS42=XR21)*(ABU3:ABU42="W"))</f>
        <v>2</v>
      </c>
      <c r="XT21" s="319">
        <f t="shared" ref="XT21" ca="1" si="6743">SUMPRODUCT((ABP3:ABP42=XR21)*(ABT3:ABT42="D"))+SUMPRODUCT((ABS3:ABS42=XR21)*(ABU3:ABU42="D"))</f>
        <v>1</v>
      </c>
      <c r="XU21" s="319">
        <f t="shared" ref="XU21" ca="1" si="6744">SUMPRODUCT((ABP3:ABP42=XR21)*(ABT3:ABT42="L"))+SUMPRODUCT((ABS3:ABS42=XR21)*(ABU3:ABU42="L"))</f>
        <v>0</v>
      </c>
      <c r="XV21" s="319">
        <f t="shared" ref="XV21" ca="1" si="6745">SUMIF(ABP3:ABP60,XR21,ABQ3:ABQ60)+SUMIF(ABS3:ABS60,XR21,ABR3:ABR60)</f>
        <v>5</v>
      </c>
      <c r="XW21" s="319">
        <f t="shared" ref="XW21" ca="1" si="6746">SUMIF(ABS3:ABS60,XR21,ABQ3:ABQ60)+SUMIF(ABP3:ABP60,XR21,ABR3:ABR60)</f>
        <v>3</v>
      </c>
      <c r="XX21" s="319">
        <f t="shared" ca="1" si="5146"/>
        <v>1002</v>
      </c>
      <c r="XY21" s="319">
        <f t="shared" ca="1" si="5147"/>
        <v>7</v>
      </c>
      <c r="XZ21" s="319">
        <f t="shared" si="750"/>
        <v>45</v>
      </c>
      <c r="YA21" s="319">
        <f t="shared" ref="YA21" ca="1" si="6747">IF(COUNTIF(XY18:XY22,4)&lt;&gt;4,RANK(XY21,XY18:XY22),XY61)</f>
        <v>1</v>
      </c>
      <c r="YB21" s="319"/>
      <c r="YC21" s="319">
        <f t="shared" ref="YC21" ca="1" si="6748">SUMPRODUCT((YA18:YA21=YA21)*(XZ18:XZ21&lt;XZ21))+YA21</f>
        <v>1</v>
      </c>
      <c r="YD21" s="319" t="str">
        <f t="shared" ref="YD21" ca="1" si="6749">INDEX(XR18:XR22,MATCH(4,YC18:YC22,0),0)</f>
        <v>Slovenia</v>
      </c>
      <c r="YE21" s="319">
        <f t="shared" ref="YE21" ca="1" si="6750">INDEX(YA18:YA22,MATCH(YD21,XR18:XR22,0),0)</f>
        <v>4</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t="str">
        <f t="shared" ca="1" si="6140"/>
        <v/>
      </c>
      <c r="AAG21" s="319" t="str">
        <f t="shared" ref="AAG21" ca="1" si="6786">IF(ZY21&lt;&gt;"",VLOOKUP(ZY21,XR4:XX40,7,FALSE),"")</f>
        <v/>
      </c>
      <c r="AAH21" s="319" t="str">
        <f t="shared" ref="AAH21" ca="1" si="6787">IF(ZY21&lt;&gt;"",VLOOKUP(ZY21,XR4:XX40,5,FALSE),"")</f>
        <v/>
      </c>
      <c r="AAI21" s="319" t="str">
        <f t="shared" ref="AAI21" ca="1" si="6788">IF(ZY21&lt;&gt;"",VLOOKUP(ZY21,XR4:XZ40,9,FALSE),"")</f>
        <v/>
      </c>
      <c r="AAJ21" s="319" t="str">
        <f t="shared" ca="1" si="6144"/>
        <v/>
      </c>
      <c r="AAK21" s="319" t="str">
        <f t="shared" ref="AAK21" ca="1" si="6789">IF(ZY21&lt;&gt;"",RANK(AAJ21,AAJ18:AAJ22),"")</f>
        <v/>
      </c>
      <c r="AAL21" s="319" t="str">
        <f t="shared" ref="AAL21" ca="1" si="6790">IF(ZY21&lt;&gt;"",SUMPRODUCT((AAJ18:AAJ22=AAJ21)*(AAE18:AAE22&gt;AAE21)),"")</f>
        <v/>
      </c>
      <c r="AAM21" s="319" t="str">
        <f t="shared" ref="AAM21" ca="1" si="6791">IF(ZY21&lt;&gt;"",SUMPRODUCT((AAJ18:AAJ22=AAJ21)*(AAE18:AAE22=AAE21)*(AAC18:AAC22&gt;AAC21)),"")</f>
        <v/>
      </c>
      <c r="AAN21" s="319" t="str">
        <f t="shared" ref="AAN21" ca="1" si="6792">IF(ZY21&lt;&gt;"",SUMPRODUCT((AAJ18:AAJ22=AAJ21)*(AAE18:AAE22=AAE21)*(AAC18:AAC22=AAC21)*(AAG18:AAG22&gt;AAG21)),"")</f>
        <v/>
      </c>
      <c r="AAO21" s="319" t="str">
        <f t="shared" ref="AAO21" ca="1" si="6793">IF(ZY21&lt;&gt;"",SUMPRODUCT((AAJ18:AAJ22=AAJ21)*(AAE18:AAE22=AAE21)*(AAC18:AAC22=AAC21)*(AAG18:AAG22=AAG21)*(AAH18:AAH22&gt;AAH21)),"")</f>
        <v/>
      </c>
      <c r="AAP21" s="319" t="str">
        <f t="shared" ref="AAP21" ca="1" si="6794">IF(ZY21&lt;&gt;"",SUMPRODUCT((AAJ18:AAJ22=AAJ21)*(AAE18:AAE22=AAE21)*(AAC18:AAC22=AAC21)*(AAG18:AAG22=AAG21)*(AAH18:AAH22=AAH21)*(AAI18:AAI22&gt;AAI21)),"")</f>
        <v/>
      </c>
      <c r="AAQ21" s="319" t="str">
        <f t="shared" ca="1" si="6151"/>
        <v/>
      </c>
      <c r="AAR21" s="319" t="str">
        <f t="shared" ref="AAR21" ca="1" si="6795">IF(ZY21&lt;&gt;"",INDEX(ZY20:ZY22,MATCH(4,AAQ20:AAQ22,0),0),"")</f>
        <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0</v>
      </c>
      <c r="ABR21" s="322">
        <f ca="1">IF(OFFSET('Player Game Board'!Q28,0,ABQ1)&lt;&gt;"",OFFSET('Player Game Board'!Q28,0,ABQ1),0)</f>
        <v>3</v>
      </c>
      <c r="ABS21" s="319" t="str">
        <f t="shared" si="51"/>
        <v>Austria</v>
      </c>
      <c r="ABT21" s="319" t="str">
        <f ca="1">IF(AND(OFFSET('Player Game Board'!P28,0,ABQ1)&lt;&gt;"",OFFSET('Player Game Board'!Q28,0,ABQ1)&lt;&gt;""),IF(ABQ21&gt;ABR21,"W",IF(ABQ21=ABR21,"D","L")),"")</f>
        <v>L</v>
      </c>
      <c r="ABU21" s="319" t="str">
        <f t="shared" ca="1" si="5610"/>
        <v>W</v>
      </c>
      <c r="ABV21" s="319"/>
      <c r="ABW21" s="319"/>
      <c r="ABX21" s="324" t="s">
        <v>101</v>
      </c>
      <c r="ABY21" s="325" t="s">
        <v>103</v>
      </c>
      <c r="ABZ21" s="325" t="s">
        <v>105</v>
      </c>
      <c r="ACA21" s="325" t="s">
        <v>106</v>
      </c>
      <c r="ACB21" s="324" t="s">
        <v>105</v>
      </c>
      <c r="ACC21" s="324" t="s">
        <v>106</v>
      </c>
      <c r="ACD21" s="324" t="s">
        <v>103</v>
      </c>
      <c r="ACE21" s="324" t="s">
        <v>101</v>
      </c>
      <c r="ACF21" s="325"/>
      <c r="ACG21" s="326">
        <f t="shared" ref="ACG21" ca="1" si="6817">IFERROR(MATCH(ACG12,ABX21:ACA21,0),0)</f>
        <v>2</v>
      </c>
      <c r="ACH21" s="326">
        <f t="shared" ref="ACH21" ca="1" si="6818">IFERROR(MATCH(ACH12,ABX21:ACA21,0),0)</f>
        <v>0</v>
      </c>
      <c r="ACI21" s="326">
        <f t="shared" ref="ACI21" ca="1" si="6819">IFERROR(MATCH(ACI12,ABX21:ACA21,0),0)</f>
        <v>0</v>
      </c>
      <c r="ACJ21" s="326">
        <f t="shared" ref="ACJ21" ca="1" si="6820">IFERROR(MATCH(ACJ12,ABX21:ACA21,0),0)</f>
        <v>1</v>
      </c>
      <c r="ACK21" s="326">
        <f t="shared" ca="1" si="3756"/>
        <v>3</v>
      </c>
      <c r="ACL21" s="325" t="s">
        <v>359</v>
      </c>
      <c r="ACM21" s="325" t="str">
        <f t="shared" ref="ACM21" ca="1" si="6821">INDEX(ABX3:ABX8,MATCH(INDEX(ACE13:ACE27,MATCH(10,ACK13:ACK27,0),0),ACL3:ACL8,0),0)</f>
        <v>Serbia</v>
      </c>
      <c r="ACN21" s="325">
        <f t="shared" ca="1" si="5181"/>
        <v>0</v>
      </c>
      <c r="ACO21" s="319">
        <f t="shared" ref="ACO21" ca="1" si="6822">VLOOKUP(ACP21,AGK18:AGL22,2,FALSE)</f>
        <v>2</v>
      </c>
      <c r="ACP21" s="319" t="str">
        <f t="shared" si="5183"/>
        <v>Denmark</v>
      </c>
      <c r="ACQ21" s="319">
        <f t="shared" ref="ACQ21" ca="1" si="6823">SUMPRODUCT((AGN3:AGN42=ACP21)*(AGR3:AGR42="W"))+SUMPRODUCT((AGQ3:AGQ42=ACP21)*(AGS3:AGS42="W"))</f>
        <v>2</v>
      </c>
      <c r="ACR21" s="319">
        <f t="shared" ref="ACR21" ca="1" si="6824">SUMPRODUCT((AGN3:AGN42=ACP21)*(AGR3:AGR42="D"))+SUMPRODUCT((AGQ3:AGQ42=ACP21)*(AGS3:AGS42="D"))</f>
        <v>0</v>
      </c>
      <c r="ACS21" s="319">
        <f t="shared" ref="ACS21" ca="1" si="6825">SUMPRODUCT((AGN3:AGN42=ACP21)*(AGR3:AGR42="L"))+SUMPRODUCT((AGQ3:AGQ42=ACP21)*(AGS3:AGS42="L"))</f>
        <v>1</v>
      </c>
      <c r="ACT21" s="319">
        <f t="shared" ref="ACT21" ca="1" si="6826">SUMIF(AGN3:AGN60,ACP21,AGO3:AGO60)+SUMIF(AGQ3:AGQ60,ACP21,AGP3:AGP60)</f>
        <v>5</v>
      </c>
      <c r="ACU21" s="319">
        <f t="shared" ref="ACU21" ca="1" si="6827">SUMIF(AGQ3:AGQ60,ACP21,AGO3:AGO60)+SUMIF(AGN3:AGN60,ACP21,AGP3:AGP60)</f>
        <v>3</v>
      </c>
      <c r="ACV21" s="319">
        <f t="shared" ca="1" si="5189"/>
        <v>1002</v>
      </c>
      <c r="ACW21" s="319">
        <f t="shared" ca="1" si="5190"/>
        <v>6</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Slovenia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Slovenia</v>
      </c>
      <c r="AGL21" s="319">
        <v>4</v>
      </c>
      <c r="AGM21" s="319">
        <v>19</v>
      </c>
      <c r="AGN21" s="319" t="str">
        <f t="shared" si="66"/>
        <v>Poland</v>
      </c>
      <c r="AGO21" s="322">
        <f ca="1">IF(OFFSET('Player Game Board'!P28,0,AGO1)&lt;&gt;"",OFFSET('Player Game Board'!P28,0,AGO1),0)</f>
        <v>1</v>
      </c>
      <c r="AGP21" s="322">
        <f ca="1">IF(OFFSET('Player Game Board'!Q28,0,AGO1)&lt;&gt;"",OFFSET('Player Game Board'!Q28,0,AGO1),0)</f>
        <v>1</v>
      </c>
      <c r="AGQ21" s="319" t="str">
        <f t="shared" si="67"/>
        <v>Austria</v>
      </c>
      <c r="AGR21" s="319" t="str">
        <f ca="1">IF(AND(OFFSET('Player Game Board'!P28,0,AGO1)&lt;&gt;"",OFFSET('Player Game Board'!Q28,0,AGO1)&lt;&gt;""),IF(AGO21&gt;AGP21,"W",IF(AGO21=AGP21,"D","L")),"")</f>
        <v>D</v>
      </c>
      <c r="AGS21" s="319" t="str">
        <f t="shared" ca="1" si="5665"/>
        <v>D</v>
      </c>
      <c r="AGT21" s="319"/>
      <c r="AGU21" s="319"/>
      <c r="AGV21" s="324" t="s">
        <v>101</v>
      </c>
      <c r="AGW21" s="325" t="s">
        <v>103</v>
      </c>
      <c r="AGX21" s="325" t="s">
        <v>105</v>
      </c>
      <c r="AGY21" s="325" t="s">
        <v>106</v>
      </c>
      <c r="AGZ21" s="324" t="s">
        <v>105</v>
      </c>
      <c r="AHA21" s="324" t="s">
        <v>106</v>
      </c>
      <c r="AHB21" s="324" t="s">
        <v>103</v>
      </c>
      <c r="AHC21" s="324" t="s">
        <v>101</v>
      </c>
      <c r="AHD21" s="325"/>
      <c r="AHE21" s="326">
        <f t="shared" ref="AHE21" ca="1" si="6898">IFERROR(MATCH(AHE12,AGV21:AGY21,0),0)</f>
        <v>4</v>
      </c>
      <c r="AHF21" s="326">
        <f t="shared" ref="AHF21" ca="1" si="6899">IFERROR(MATCH(AHF12,AGV21:AGY21,0),0)</f>
        <v>1</v>
      </c>
      <c r="AHG21" s="326">
        <f t="shared" ref="AHG21" ca="1" si="6900">IFERROR(MATCH(AHG12,AGV21:AGY21,0),0)</f>
        <v>0</v>
      </c>
      <c r="AHH21" s="326">
        <f t="shared" ref="AHH21" ca="1" si="6901">IFERROR(MATCH(AHH12,AGV21:AGY21,0),0)</f>
        <v>2</v>
      </c>
      <c r="AHI21" s="326">
        <f t="shared" ca="1" si="3826"/>
        <v>7</v>
      </c>
      <c r="AHJ21" s="325" t="s">
        <v>359</v>
      </c>
      <c r="AHK21" s="325" t="str">
        <f t="shared" ref="AHK21" ca="1" si="6902">INDEX(AGV3:AGV8,MATCH(INDEX(AHC13:AHC27,MATCH(10,AHI13:AHI27,0),0),AHJ3:AHJ8,0),0)</f>
        <v>Serbia</v>
      </c>
      <c r="AHL21" s="325">
        <f t="shared" ca="1" si="5224"/>
        <v>0</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6</v>
      </c>
      <c r="AHS21" s="319">
        <f t="shared" ref="AHS21" ca="1" si="6908">SUMIF(ALO3:ALO60,AHN21,ALM3:ALM60)+SUMIF(ALL3:ALL60,AHN21,ALN3:ALN60)</f>
        <v>5</v>
      </c>
      <c r="AHT21" s="319">
        <f t="shared" ca="1" si="5232"/>
        <v>1001</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3</v>
      </c>
      <c r="AHZ21" s="319" t="str">
        <f t="shared" ref="AHZ21" ca="1" si="6911">INDEX(AHN18:AHN22,MATCH(4,AHY18:AHY22,0),0)</f>
        <v>Slovenia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Slovenia</v>
      </c>
      <c r="ALJ21" s="319">
        <v>4</v>
      </c>
      <c r="ALK21" s="319">
        <v>19</v>
      </c>
      <c r="ALL21" s="319" t="str">
        <f t="shared" si="82"/>
        <v>Poland</v>
      </c>
      <c r="ALM21" s="322">
        <f ca="1">IF(OFFSET('Player Game Board'!P28,0,ALM1)&lt;&gt;"",OFFSET('Player Game Board'!P28,0,ALM1),0)</f>
        <v>1</v>
      </c>
      <c r="ALN21" s="322">
        <f ca="1">IF(OFFSET('Player Game Board'!Q28,0,ALM1)&lt;&gt;"",OFFSET('Player Game Board'!Q28,0,ALM1),0)</f>
        <v>1</v>
      </c>
      <c r="ALO21" s="319" t="str">
        <f t="shared" si="83"/>
        <v>Austria</v>
      </c>
      <c r="ALP21" s="319" t="str">
        <f ca="1">IF(AND(OFFSET('Player Game Board'!P28,0,ALM1)&lt;&gt;"",OFFSET('Player Game Board'!Q28,0,ALM1)&lt;&gt;""),IF(ALM21&gt;ALN21,"W",IF(ALM21=ALN21,"D","L")),"")</f>
        <v>D</v>
      </c>
      <c r="ALQ21" s="319" t="str">
        <f t="shared" ca="1" si="5720"/>
        <v>D</v>
      </c>
      <c r="ALR21" s="319"/>
      <c r="ALS21" s="319"/>
      <c r="ALT21" s="324" t="s">
        <v>101</v>
      </c>
      <c r="ALU21" s="325" t="s">
        <v>103</v>
      </c>
      <c r="ALV21" s="325" t="s">
        <v>105</v>
      </c>
      <c r="ALW21" s="325" t="s">
        <v>106</v>
      </c>
      <c r="ALX21" s="324" t="s">
        <v>105</v>
      </c>
      <c r="ALY21" s="324" t="s">
        <v>106</v>
      </c>
      <c r="ALZ21" s="324" t="s">
        <v>103</v>
      </c>
      <c r="AMA21" s="324" t="s">
        <v>101</v>
      </c>
      <c r="AMB21" s="325"/>
      <c r="AMC21" s="326">
        <f t="shared" ref="AMC21" ca="1" si="6979">IFERROR(MATCH(AMC12,ALT21:ALW21,0),0)</f>
        <v>0</v>
      </c>
      <c r="AMD21" s="326">
        <f t="shared" ref="AMD21" ca="1" si="6980">IFERROR(MATCH(AMD12,ALT21:ALW21,0),0)</f>
        <v>2</v>
      </c>
      <c r="AME21" s="326">
        <f t="shared" ref="AME21" ca="1" si="6981">IFERROR(MATCH(AME12,ALT21:ALW21,0),0)</f>
        <v>4</v>
      </c>
      <c r="AMF21" s="326">
        <f t="shared" ref="AMF21" ca="1" si="6982">IFERROR(MATCH(AMF12,ALT21:ALW21,0),0)</f>
        <v>3</v>
      </c>
      <c r="AMG21" s="326">
        <f t="shared" ca="1" si="3896"/>
        <v>9</v>
      </c>
      <c r="AMH21" s="325" t="s">
        <v>359</v>
      </c>
      <c r="AMI21" s="325" t="str">
        <f t="shared" ref="AMI21" ca="1" si="6983">INDEX(ALT3:ALT8,MATCH(INDEX(AMA13:AMA27,MATCH(10,AMG13:AMG27,0),0),AMH3:AMH8,0),0)</f>
        <v>Italy</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101</v>
      </c>
      <c r="AQS21" s="325" t="s">
        <v>103</v>
      </c>
      <c r="AQT21" s="325" t="s">
        <v>105</v>
      </c>
      <c r="AQU21" s="325" t="s">
        <v>106</v>
      </c>
      <c r="AQV21" s="324" t="s">
        <v>105</v>
      </c>
      <c r="AQW21" s="324" t="s">
        <v>106</v>
      </c>
      <c r="AQX21" s="324" t="s">
        <v>103</v>
      </c>
      <c r="AQY21" s="324" t="s">
        <v>101</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359</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101</v>
      </c>
      <c r="AVQ21" s="325" t="s">
        <v>103</v>
      </c>
      <c r="AVR21" s="325" t="s">
        <v>105</v>
      </c>
      <c r="AVS21" s="325" t="s">
        <v>106</v>
      </c>
      <c r="AVT21" s="324" t="s">
        <v>105</v>
      </c>
      <c r="AVU21" s="324" t="s">
        <v>106</v>
      </c>
      <c r="AVV21" s="324" t="s">
        <v>103</v>
      </c>
      <c r="AVW21" s="324" t="s">
        <v>101</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359</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101</v>
      </c>
      <c r="BAO21" s="325" t="s">
        <v>103</v>
      </c>
      <c r="BAP21" s="325" t="s">
        <v>105</v>
      </c>
      <c r="BAQ21" s="325" t="s">
        <v>106</v>
      </c>
      <c r="BAR21" s="324" t="s">
        <v>105</v>
      </c>
      <c r="BAS21" s="324" t="s">
        <v>106</v>
      </c>
      <c r="BAT21" s="324" t="s">
        <v>103</v>
      </c>
      <c r="BAU21" s="324" t="s">
        <v>101</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359</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101</v>
      </c>
      <c r="BFM21" s="325" t="s">
        <v>103</v>
      </c>
      <c r="BFN21" s="325" t="s">
        <v>105</v>
      </c>
      <c r="BFO21" s="325" t="s">
        <v>106</v>
      </c>
      <c r="BFP21" s="324" t="s">
        <v>105</v>
      </c>
      <c r="BFQ21" s="324" t="s">
        <v>106</v>
      </c>
      <c r="BFR21" s="324" t="s">
        <v>103</v>
      </c>
      <c r="BFS21" s="324" t="s">
        <v>101</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359</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101</v>
      </c>
      <c r="DI22" s="325" t="s">
        <v>104</v>
      </c>
      <c r="DJ22" s="325" t="s">
        <v>105</v>
      </c>
      <c r="DK22" s="325" t="s">
        <v>106</v>
      </c>
      <c r="DL22" s="324" t="s">
        <v>105</v>
      </c>
      <c r="DM22" s="324" t="s">
        <v>106</v>
      </c>
      <c r="DN22" s="324" t="s">
        <v>104</v>
      </c>
      <c r="DO22" s="324" t="s">
        <v>101</v>
      </c>
      <c r="DP22" s="325"/>
      <c r="DQ22" s="326">
        <f>IFERROR(MATCH(DQ12,DH22:DK22,0),0)</f>
        <v>2</v>
      </c>
      <c r="DR22" s="326">
        <f>IFERROR(MATCH(DR12,DH22:DK22,0),0)</f>
        <v>3</v>
      </c>
      <c r="DS22" s="326">
        <f>IFERROR(MATCH(DS12,DH22:DK22,0),0)</f>
        <v>0</v>
      </c>
      <c r="DT22" s="326">
        <f>IFERROR(MATCH(DT12,DH22:DK22,0),0)</f>
        <v>0</v>
      </c>
      <c r="DU22" s="326">
        <f t="shared" si="3541"/>
        <v>5</v>
      </c>
      <c r="DV22" s="325" t="s">
        <v>101</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101</v>
      </c>
      <c r="IG22" s="325" t="s">
        <v>104</v>
      </c>
      <c r="IH22" s="325" t="s">
        <v>105</v>
      </c>
      <c r="II22" s="325" t="s">
        <v>106</v>
      </c>
      <c r="IJ22" s="324" t="s">
        <v>105</v>
      </c>
      <c r="IK22" s="324" t="s">
        <v>106</v>
      </c>
      <c r="IL22" s="324" t="s">
        <v>104</v>
      </c>
      <c r="IM22" s="324" t="s">
        <v>101</v>
      </c>
      <c r="IN22" s="325"/>
      <c r="IO22" s="326">
        <f ca="1">IFERROR(MATCH(IO12,IF22:II22,0),0)</f>
        <v>1</v>
      </c>
      <c r="IP22" s="326">
        <f ca="1">IFERROR(MATCH(IP12,IF22:II22,0),0)</f>
        <v>2</v>
      </c>
      <c r="IQ22" s="326">
        <f ca="1">IFERROR(MATCH(IQ12,IF22:II22,0),0)</f>
        <v>4</v>
      </c>
      <c r="IR22" s="326">
        <f ca="1">IFERROR(MATCH(IR12,IF22:II22,0),0)</f>
        <v>0</v>
      </c>
      <c r="IS22" s="326">
        <f t="shared" ca="1" si="3544"/>
        <v>7</v>
      </c>
      <c r="IT22" s="325" t="s">
        <v>101</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0</v>
      </c>
      <c r="MX22" s="322">
        <f ca="1">IF(OFFSET('Player Game Board'!Q29,0,MW1)&lt;&gt;"",OFFSET('Player Game Board'!Q29,0,MW1),0)</f>
        <v>1</v>
      </c>
      <c r="MY22" s="319" t="str">
        <f t="shared" si="171"/>
        <v>France</v>
      </c>
      <c r="MZ22" s="319" t="str">
        <f ca="1">IF(AND(OFFSET('Player Game Board'!P29,0,MW1)&lt;&gt;"",OFFSET('Player Game Board'!Q29,0,MW1)&lt;&gt;""),IF(MW22&gt;MX22,"W",IF(MW22=MX22,"D","L")),"")</f>
        <v>L</v>
      </c>
      <c r="NA22" s="319" t="str">
        <f t="shared" ca="1" si="172"/>
        <v>W</v>
      </c>
      <c r="NB22" s="319"/>
      <c r="NC22" s="319"/>
      <c r="ND22" s="324" t="s">
        <v>101</v>
      </c>
      <c r="NE22" s="325" t="s">
        <v>104</v>
      </c>
      <c r="NF22" s="325" t="s">
        <v>105</v>
      </c>
      <c r="NG22" s="325" t="s">
        <v>106</v>
      </c>
      <c r="NH22" s="324" t="s">
        <v>105</v>
      </c>
      <c r="NI22" s="324" t="s">
        <v>106</v>
      </c>
      <c r="NJ22" s="324" t="s">
        <v>104</v>
      </c>
      <c r="NK22" s="324" t="s">
        <v>101</v>
      </c>
      <c r="NL22" s="325"/>
      <c r="NM22" s="326">
        <f ca="1">IFERROR(MATCH(NM12,ND22:NG22,0),0)</f>
        <v>0</v>
      </c>
      <c r="NN22" s="326">
        <f ca="1">IFERROR(MATCH(NN12,ND22:NG22,0),0)</f>
        <v>1</v>
      </c>
      <c r="NO22" s="326">
        <f ca="1">IFERROR(MATCH(NO12,ND22:NG22,0),0)</f>
        <v>4</v>
      </c>
      <c r="NP22" s="326">
        <f ca="1">IFERROR(MATCH(NP12,ND22:NG22,0),0)</f>
        <v>3</v>
      </c>
      <c r="NQ22" s="326">
        <f t="shared" ca="1" si="3547"/>
        <v>8</v>
      </c>
      <c r="NR22" s="325" t="s">
        <v>101</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1</v>
      </c>
      <c r="RV22" s="322">
        <f ca="1">IF(OFFSET('Player Game Board'!Q29,0,RU1)&lt;&gt;"",OFFSET('Player Game Board'!Q29,0,RU1),0)</f>
        <v>2</v>
      </c>
      <c r="RW22" s="319" t="str">
        <f t="shared" si="19"/>
        <v>France</v>
      </c>
      <c r="RX22" s="319" t="str">
        <f ca="1">IF(AND(OFFSET('Player Game Board'!P29,0,RU1)&lt;&gt;"",OFFSET('Player Game Board'!Q29,0,RU1)&lt;&gt;""),IF(RU22&gt;RV22,"W",IF(RU22=RV22,"D","L")),"")</f>
        <v>L</v>
      </c>
      <c r="RY22" s="319" t="str">
        <f t="shared" ca="1" si="5500"/>
        <v>W</v>
      </c>
      <c r="RZ22" s="319"/>
      <c r="SA22" s="319"/>
      <c r="SB22" s="324" t="s">
        <v>101</v>
      </c>
      <c r="SC22" s="325" t="s">
        <v>104</v>
      </c>
      <c r="SD22" s="325" t="s">
        <v>105</v>
      </c>
      <c r="SE22" s="325" t="s">
        <v>106</v>
      </c>
      <c r="SF22" s="324" t="s">
        <v>105</v>
      </c>
      <c r="SG22" s="324" t="s">
        <v>106</v>
      </c>
      <c r="SH22" s="324" t="s">
        <v>104</v>
      </c>
      <c r="SI22" s="324" t="s">
        <v>101</v>
      </c>
      <c r="SJ22" s="325"/>
      <c r="SK22" s="326">
        <f t="shared" ref="SK22" ca="1" si="7308">IFERROR(MATCH(SK12,SB22:SE22,0),0)</f>
        <v>0</v>
      </c>
      <c r="SL22" s="326">
        <f t="shared" ref="SL22" ca="1" si="7309">IFERROR(MATCH(SL12,SB22:SE22,0),0)</f>
        <v>0</v>
      </c>
      <c r="SM22" s="326">
        <f t="shared" ref="SM22" ca="1" si="7310">IFERROR(MATCH(SM12,SB22:SE22,0),0)</f>
        <v>4</v>
      </c>
      <c r="SN22" s="326">
        <f t="shared" ref="SN22" ca="1" si="7311">IFERROR(MATCH(SN12,SB22:SE22,0),0)</f>
        <v>3</v>
      </c>
      <c r="SO22" s="326">
        <f t="shared" ca="1" si="3616"/>
        <v>7</v>
      </c>
      <c r="SP22" s="325" t="s">
        <v>101</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1</v>
      </c>
      <c r="WT22" s="322">
        <f ca="1">IF(OFFSET('Player Game Board'!Q29,0,WS1)&lt;&gt;"",OFFSET('Player Game Board'!Q29,0,WS1),0)</f>
        <v>2</v>
      </c>
      <c r="WU22" s="319" t="str">
        <f t="shared" si="35"/>
        <v>France</v>
      </c>
      <c r="WV22" s="319" t="str">
        <f ca="1">IF(AND(OFFSET('Player Game Board'!P29,0,WS1)&lt;&gt;"",OFFSET('Player Game Board'!Q29,0,WS1)&lt;&gt;""),IF(WS22&gt;WT22,"W",IF(WS22=WT22,"D","L")),"")</f>
        <v>L</v>
      </c>
      <c r="WW22" s="319" t="str">
        <f t="shared" ca="1" si="5555"/>
        <v>W</v>
      </c>
      <c r="WX22" s="319"/>
      <c r="WY22" s="319"/>
      <c r="WZ22" s="324" t="s">
        <v>101</v>
      </c>
      <c r="XA22" s="325" t="s">
        <v>104</v>
      </c>
      <c r="XB22" s="325" t="s">
        <v>105</v>
      </c>
      <c r="XC22" s="325" t="s">
        <v>106</v>
      </c>
      <c r="XD22" s="324" t="s">
        <v>105</v>
      </c>
      <c r="XE22" s="324" t="s">
        <v>106</v>
      </c>
      <c r="XF22" s="324" t="s">
        <v>104</v>
      </c>
      <c r="XG22" s="324" t="s">
        <v>101</v>
      </c>
      <c r="XH22" s="325"/>
      <c r="XI22" s="326">
        <f t="shared" ref="XI22" ca="1" si="7313">IFERROR(MATCH(XI12,WZ22:XC22,0),0)</f>
        <v>4</v>
      </c>
      <c r="XJ22" s="326">
        <f t="shared" ref="XJ22" ca="1" si="7314">IFERROR(MATCH(XJ12,WZ22:XC22,0),0)</f>
        <v>3</v>
      </c>
      <c r="XK22" s="326">
        <f t="shared" ref="XK22" ca="1" si="7315">IFERROR(MATCH(XK12,WZ22:XC22,0),0)</f>
        <v>0</v>
      </c>
      <c r="XL22" s="326">
        <f t="shared" ref="XL22" ca="1" si="7316">IFERROR(MATCH(XL12,WZ22:XC22,0),0)</f>
        <v>1</v>
      </c>
      <c r="XM22" s="326">
        <f t="shared" ca="1" si="3686"/>
        <v>8</v>
      </c>
      <c r="XN22" s="325" t="s">
        <v>101</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2</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101</v>
      </c>
      <c r="ABY22" s="325" t="s">
        <v>104</v>
      </c>
      <c r="ABZ22" s="325" t="s">
        <v>105</v>
      </c>
      <c r="ACA22" s="325" t="s">
        <v>106</v>
      </c>
      <c r="ACB22" s="324" t="s">
        <v>105</v>
      </c>
      <c r="ACC22" s="324" t="s">
        <v>106</v>
      </c>
      <c r="ACD22" s="324" t="s">
        <v>104</v>
      </c>
      <c r="ACE22" s="324" t="s">
        <v>101</v>
      </c>
      <c r="ACF22" s="325"/>
      <c r="ACG22" s="326">
        <f t="shared" ref="ACG22" ca="1" si="7318">IFERROR(MATCH(ACG12,ABX22:ACA22,0),0)</f>
        <v>0</v>
      </c>
      <c r="ACH22" s="326">
        <f t="shared" ref="ACH22" ca="1" si="7319">IFERROR(MATCH(ACH12,ABX22:ACA22,0),0)</f>
        <v>0</v>
      </c>
      <c r="ACI22" s="326">
        <f t="shared" ref="ACI22" ca="1" si="7320">IFERROR(MATCH(ACI12,ABX22:ACA22,0),0)</f>
        <v>2</v>
      </c>
      <c r="ACJ22" s="326">
        <f t="shared" ref="ACJ22" ca="1" si="7321">IFERROR(MATCH(ACJ12,ABX22:ACA22,0),0)</f>
        <v>1</v>
      </c>
      <c r="ACK22" s="326">
        <f t="shared" ca="1" si="3756"/>
        <v>3</v>
      </c>
      <c r="ACL22" s="325" t="s">
        <v>101</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2</v>
      </c>
      <c r="AGP22" s="322">
        <f ca="1">IF(OFFSET('Player Game Board'!Q29,0,AGO1)&lt;&gt;"",OFFSET('Player Game Board'!Q29,0,AGO1),0)</f>
        <v>1</v>
      </c>
      <c r="AGQ22" s="319" t="str">
        <f t="shared" si="67"/>
        <v>France</v>
      </c>
      <c r="AGR22" s="319" t="str">
        <f ca="1">IF(AND(OFFSET('Player Game Board'!P29,0,AGO1)&lt;&gt;"",OFFSET('Player Game Board'!Q29,0,AGO1)&lt;&gt;""),IF(AGO22&gt;AGP22,"W",IF(AGO22=AGP22,"D","L")),"")</f>
        <v>W</v>
      </c>
      <c r="AGS22" s="319" t="str">
        <f t="shared" ca="1" si="5665"/>
        <v>L</v>
      </c>
      <c r="AGT22" s="319"/>
      <c r="AGU22" s="319"/>
      <c r="AGV22" s="324" t="s">
        <v>101</v>
      </c>
      <c r="AGW22" s="325" t="s">
        <v>104</v>
      </c>
      <c r="AGX22" s="325" t="s">
        <v>105</v>
      </c>
      <c r="AGY22" s="325" t="s">
        <v>106</v>
      </c>
      <c r="AGZ22" s="324" t="s">
        <v>105</v>
      </c>
      <c r="AHA22" s="324" t="s">
        <v>106</v>
      </c>
      <c r="AHB22" s="324" t="s">
        <v>104</v>
      </c>
      <c r="AHC22" s="324" t="s">
        <v>101</v>
      </c>
      <c r="AHD22" s="325"/>
      <c r="AHE22" s="326">
        <f t="shared" ref="AHE22" ca="1" si="7323">IFERROR(MATCH(AHE12,AGV22:AGY22,0),0)</f>
        <v>4</v>
      </c>
      <c r="AHF22" s="326">
        <f t="shared" ref="AHF22" ca="1" si="7324">IFERROR(MATCH(AHF12,AGV22:AGY22,0),0)</f>
        <v>1</v>
      </c>
      <c r="AHG22" s="326">
        <f t="shared" ref="AHG22" ca="1" si="7325">IFERROR(MATCH(AHG12,AGV22:AGY22,0),0)</f>
        <v>0</v>
      </c>
      <c r="AHH22" s="326">
        <f t="shared" ref="AHH22" ca="1" si="7326">IFERROR(MATCH(AHH12,AGV22:AGY22,0),0)</f>
        <v>0</v>
      </c>
      <c r="AHI22" s="326">
        <f t="shared" ca="1" si="3826"/>
        <v>5</v>
      </c>
      <c r="AHJ22" s="325" t="s">
        <v>101</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D</v>
      </c>
      <c r="ALQ22" s="319" t="str">
        <f t="shared" ca="1" si="5720"/>
        <v>D</v>
      </c>
      <c r="ALR22" s="319"/>
      <c r="ALS22" s="319"/>
      <c r="ALT22" s="324" t="s">
        <v>101</v>
      </c>
      <c r="ALU22" s="325" t="s">
        <v>104</v>
      </c>
      <c r="ALV22" s="325" t="s">
        <v>105</v>
      </c>
      <c r="ALW22" s="325" t="s">
        <v>106</v>
      </c>
      <c r="ALX22" s="324" t="s">
        <v>105</v>
      </c>
      <c r="ALY22" s="324" t="s">
        <v>106</v>
      </c>
      <c r="ALZ22" s="324" t="s">
        <v>104</v>
      </c>
      <c r="AMA22" s="324" t="s">
        <v>101</v>
      </c>
      <c r="AMB22" s="325"/>
      <c r="AMC22" s="326">
        <f t="shared" ref="AMC22" ca="1" si="7328">IFERROR(MATCH(AMC12,ALT22:ALW22,0),0)</f>
        <v>0</v>
      </c>
      <c r="AMD22" s="326">
        <f t="shared" ref="AMD22" ca="1" si="7329">IFERROR(MATCH(AMD12,ALT22:ALW22,0),0)</f>
        <v>0</v>
      </c>
      <c r="AME22" s="326">
        <f t="shared" ref="AME22" ca="1" si="7330">IFERROR(MATCH(AME12,ALT22:ALW22,0),0)</f>
        <v>4</v>
      </c>
      <c r="AMF22" s="326">
        <f t="shared" ref="AMF22" ca="1" si="7331">IFERROR(MATCH(AMF12,ALT22:ALW22,0),0)</f>
        <v>3</v>
      </c>
      <c r="AMG22" s="326">
        <f t="shared" ca="1" si="3896"/>
        <v>7</v>
      </c>
      <c r="AMH22" s="325" t="s">
        <v>101</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101</v>
      </c>
      <c r="AQS22" s="325" t="s">
        <v>104</v>
      </c>
      <c r="AQT22" s="325" t="s">
        <v>105</v>
      </c>
      <c r="AQU22" s="325" t="s">
        <v>106</v>
      </c>
      <c r="AQV22" s="324" t="s">
        <v>105</v>
      </c>
      <c r="AQW22" s="324" t="s">
        <v>106</v>
      </c>
      <c r="AQX22" s="324" t="s">
        <v>104</v>
      </c>
      <c r="AQY22" s="324" t="s">
        <v>101</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101</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101</v>
      </c>
      <c r="AVQ22" s="325" t="s">
        <v>104</v>
      </c>
      <c r="AVR22" s="325" t="s">
        <v>105</v>
      </c>
      <c r="AVS22" s="325" t="s">
        <v>106</v>
      </c>
      <c r="AVT22" s="324" t="s">
        <v>105</v>
      </c>
      <c r="AVU22" s="324" t="s">
        <v>106</v>
      </c>
      <c r="AVV22" s="324" t="s">
        <v>104</v>
      </c>
      <c r="AVW22" s="324" t="s">
        <v>101</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101</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101</v>
      </c>
      <c r="BAO22" s="325" t="s">
        <v>104</v>
      </c>
      <c r="BAP22" s="325" t="s">
        <v>105</v>
      </c>
      <c r="BAQ22" s="325" t="s">
        <v>106</v>
      </c>
      <c r="BAR22" s="324" t="s">
        <v>105</v>
      </c>
      <c r="BAS22" s="324" t="s">
        <v>106</v>
      </c>
      <c r="BAT22" s="324" t="s">
        <v>104</v>
      </c>
      <c r="BAU22" s="324" t="s">
        <v>101</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101</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101</v>
      </c>
      <c r="BFM22" s="325" t="s">
        <v>104</v>
      </c>
      <c r="BFN22" s="325" t="s">
        <v>105</v>
      </c>
      <c r="BFO22" s="325" t="s">
        <v>106</v>
      </c>
      <c r="BFP22" s="324" t="s">
        <v>105</v>
      </c>
      <c r="BFQ22" s="324" t="s">
        <v>106</v>
      </c>
      <c r="BFR22" s="324" t="s">
        <v>104</v>
      </c>
      <c r="BFS22" s="324" t="s">
        <v>101</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101</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102</v>
      </c>
      <c r="DI23" s="325" t="s">
        <v>103</v>
      </c>
      <c r="DJ23" s="325" t="s">
        <v>104</v>
      </c>
      <c r="DK23" s="325" t="s">
        <v>105</v>
      </c>
      <c r="DL23" s="324" t="s">
        <v>105</v>
      </c>
      <c r="DM23" s="324" t="s">
        <v>104</v>
      </c>
      <c r="DN23" s="324" t="s">
        <v>102</v>
      </c>
      <c r="DO23" s="324" t="s">
        <v>103</v>
      </c>
      <c r="DP23" s="325"/>
      <c r="DQ23" s="326">
        <f>IFERROR(MATCH(DQ12,DH23:DK23,0),0)</f>
        <v>3</v>
      </c>
      <c r="DR23" s="326">
        <f>IFERROR(MATCH(DR12,DH23:DK23,0),0)</f>
        <v>4</v>
      </c>
      <c r="DS23" s="326">
        <f>IFERROR(MATCH(DS12,DH23:DK23,0),0)</f>
        <v>2</v>
      </c>
      <c r="DT23" s="326">
        <f>IFERROR(MATCH(DT12,DH23:DK23,0),0)</f>
        <v>1</v>
      </c>
      <c r="DU23" s="326">
        <f t="shared" si="3541"/>
        <v>10</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102</v>
      </c>
      <c r="IG23" s="325" t="s">
        <v>103</v>
      </c>
      <c r="IH23" s="325" t="s">
        <v>104</v>
      </c>
      <c r="II23" s="325" t="s">
        <v>105</v>
      </c>
      <c r="IJ23" s="324" t="s">
        <v>105</v>
      </c>
      <c r="IK23" s="324" t="s">
        <v>104</v>
      </c>
      <c r="IL23" s="324" t="s">
        <v>102</v>
      </c>
      <c r="IM23" s="324" t="s">
        <v>103</v>
      </c>
      <c r="IN23" s="325"/>
      <c r="IO23" s="326">
        <f ca="1">IFERROR(MATCH(IO12,IF23:II23,0),0)</f>
        <v>0</v>
      </c>
      <c r="IP23" s="326">
        <f ca="1">IFERROR(MATCH(IP12,IF23:II23,0),0)</f>
        <v>3</v>
      </c>
      <c r="IQ23" s="326">
        <f ca="1">IFERROR(MATCH(IQ12,IF23:II23,0),0)</f>
        <v>0</v>
      </c>
      <c r="IR23" s="326">
        <f ca="1">IFERROR(MATCH(IR12,IF23:II23,0),0)</f>
        <v>1</v>
      </c>
      <c r="IS23" s="326">
        <f t="shared" ca="1" si="3544"/>
        <v>4</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0</v>
      </c>
      <c r="MX23" s="322">
        <f ca="1">IF(OFFSET('Player Game Board'!Q30,0,MW1)&lt;&gt;"",OFFSET('Player Game Board'!Q30,0,MW1),0)</f>
        <v>0</v>
      </c>
      <c r="MY23" s="319" t="str">
        <f t="shared" si="171"/>
        <v>Ukraine</v>
      </c>
      <c r="MZ23" s="319" t="str">
        <f ca="1">IF(AND(OFFSET('Player Game Board'!P30,0,MW1)&lt;&gt;"",OFFSET('Player Game Board'!Q30,0,MW1)&lt;&gt;""),IF(MW23&gt;MX23,"W",IF(MW23=MX23,"D","L")),"")</f>
        <v>D</v>
      </c>
      <c r="NA23" s="319" t="str">
        <f t="shared" ca="1" si="172"/>
        <v>D</v>
      </c>
      <c r="NB23" s="319"/>
      <c r="NC23" s="319"/>
      <c r="ND23" s="324" t="s">
        <v>102</v>
      </c>
      <c r="NE23" s="325" t="s">
        <v>103</v>
      </c>
      <c r="NF23" s="325" t="s">
        <v>104</v>
      </c>
      <c r="NG23" s="325" t="s">
        <v>105</v>
      </c>
      <c r="NH23" s="324" t="s">
        <v>105</v>
      </c>
      <c r="NI23" s="324" t="s">
        <v>104</v>
      </c>
      <c r="NJ23" s="324" t="s">
        <v>102</v>
      </c>
      <c r="NK23" s="324" t="s">
        <v>103</v>
      </c>
      <c r="NL23" s="325"/>
      <c r="NM23" s="326">
        <f ca="1">IFERROR(MATCH(NM12,ND23:NG23,0),0)</f>
        <v>1</v>
      </c>
      <c r="NN23" s="326">
        <f ca="1">IFERROR(MATCH(NN12,ND23:NG23,0),0)</f>
        <v>0</v>
      </c>
      <c r="NO23" s="326">
        <f ca="1">IFERROR(MATCH(NO12,ND23:NG23,0),0)</f>
        <v>0</v>
      </c>
      <c r="NP23" s="326">
        <f ca="1">IFERROR(MATCH(NP12,ND23:NG23,0),0)</f>
        <v>4</v>
      </c>
      <c r="NQ23" s="326">
        <f t="shared" ca="1" si="3547"/>
        <v>5</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102</v>
      </c>
      <c r="SC23" s="325" t="s">
        <v>103</v>
      </c>
      <c r="SD23" s="325" t="s">
        <v>104</v>
      </c>
      <c r="SE23" s="325" t="s">
        <v>105</v>
      </c>
      <c r="SF23" s="324" t="s">
        <v>105</v>
      </c>
      <c r="SG23" s="324" t="s">
        <v>104</v>
      </c>
      <c r="SH23" s="324" t="s">
        <v>102</v>
      </c>
      <c r="SI23" s="324" t="s">
        <v>103</v>
      </c>
      <c r="SJ23" s="325"/>
      <c r="SK23" s="326">
        <f t="shared" ref="SK23" ca="1" si="7353">IFERROR(MATCH(SK12,SB23:SE23,0),0)</f>
        <v>2</v>
      </c>
      <c r="SL23" s="326">
        <f t="shared" ref="SL23" ca="1" si="7354">IFERROR(MATCH(SL12,SB23:SE23,0),0)</f>
        <v>1</v>
      </c>
      <c r="SM23" s="326">
        <f t="shared" ref="SM23" ca="1" si="7355">IFERROR(MATCH(SM12,SB23:SE23,0),0)</f>
        <v>0</v>
      </c>
      <c r="SN23" s="326">
        <f t="shared" ref="SN23" ca="1" si="7356">IFERROR(MATCH(SN12,SB23:SE23,0),0)</f>
        <v>4</v>
      </c>
      <c r="SO23" s="326">
        <f t="shared" ca="1" si="3616"/>
        <v>7</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1</v>
      </c>
      <c r="WU23" s="319" t="str">
        <f t="shared" si="35"/>
        <v>Ukraine</v>
      </c>
      <c r="WV23" s="319" t="str">
        <f ca="1">IF(AND(OFFSET('Player Game Board'!P30,0,WS1)&lt;&gt;"",OFFSET('Player Game Board'!Q30,0,WS1)&lt;&gt;""),IF(WS23&gt;WT23,"W",IF(WS23=WT23,"D","L")),"")</f>
        <v>L</v>
      </c>
      <c r="WW23" s="319" t="str">
        <f t="shared" ca="1" si="5555"/>
        <v>W</v>
      </c>
      <c r="WX23" s="319"/>
      <c r="WY23" s="319"/>
      <c r="WZ23" s="324" t="s">
        <v>102</v>
      </c>
      <c r="XA23" s="325" t="s">
        <v>103</v>
      </c>
      <c r="XB23" s="325" t="s">
        <v>104</v>
      </c>
      <c r="XC23" s="325" t="s">
        <v>105</v>
      </c>
      <c r="XD23" s="324" t="s">
        <v>105</v>
      </c>
      <c r="XE23" s="324" t="s">
        <v>104</v>
      </c>
      <c r="XF23" s="324" t="s">
        <v>102</v>
      </c>
      <c r="XG23" s="324" t="s">
        <v>103</v>
      </c>
      <c r="XH23" s="325"/>
      <c r="XI23" s="326">
        <f t="shared" ref="XI23" ca="1" si="7358">IFERROR(MATCH(XI12,WZ23:XC23,0),0)</f>
        <v>0</v>
      </c>
      <c r="XJ23" s="326">
        <f t="shared" ref="XJ23" ca="1" si="7359">IFERROR(MATCH(XJ12,WZ23:XC23,0),0)</f>
        <v>4</v>
      </c>
      <c r="XK23" s="326">
        <f t="shared" ref="XK23" ca="1" si="7360">IFERROR(MATCH(XK12,WZ23:XC23,0),0)</f>
        <v>1</v>
      </c>
      <c r="XL23" s="326">
        <f t="shared" ref="XL23" ca="1" si="7361">IFERROR(MATCH(XL12,WZ23:XC23,0),0)</f>
        <v>0</v>
      </c>
      <c r="XM23" s="326">
        <f t="shared" ca="1" si="3686"/>
        <v>5</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2</v>
      </c>
      <c r="ABS23" s="319" t="str">
        <f t="shared" si="51"/>
        <v>Ukraine</v>
      </c>
      <c r="ABT23" s="319" t="str">
        <f ca="1">IF(AND(OFFSET('Player Game Board'!P30,0,ABQ1)&lt;&gt;"",OFFSET('Player Game Board'!Q30,0,ABQ1)&lt;&gt;""),IF(ABQ23&gt;ABR23,"W",IF(ABQ23=ABR23,"D","L")),"")</f>
        <v>L</v>
      </c>
      <c r="ABU23" s="319" t="str">
        <f t="shared" ca="1" si="5610"/>
        <v>W</v>
      </c>
      <c r="ABV23" s="319"/>
      <c r="ABW23" s="319"/>
      <c r="ABX23" s="324" t="s">
        <v>102</v>
      </c>
      <c r="ABY23" s="325" t="s">
        <v>103</v>
      </c>
      <c r="ABZ23" s="325" t="s">
        <v>104</v>
      </c>
      <c r="ACA23" s="325" t="s">
        <v>105</v>
      </c>
      <c r="ACB23" s="324" t="s">
        <v>105</v>
      </c>
      <c r="ACC23" s="324" t="s">
        <v>104</v>
      </c>
      <c r="ACD23" s="324" t="s">
        <v>102</v>
      </c>
      <c r="ACE23" s="324" t="s">
        <v>103</v>
      </c>
      <c r="ACF23" s="325"/>
      <c r="ACG23" s="326">
        <f t="shared" ref="ACG23" ca="1" si="7363">IFERROR(MATCH(ACG12,ABX23:ACA23,0),0)</f>
        <v>2</v>
      </c>
      <c r="ACH23" s="326">
        <f t="shared" ref="ACH23" ca="1" si="7364">IFERROR(MATCH(ACH12,ABX23:ACA23,0),0)</f>
        <v>1</v>
      </c>
      <c r="ACI23" s="326">
        <f t="shared" ref="ACI23" ca="1" si="7365">IFERROR(MATCH(ACI12,ABX23:ACA23,0),0)</f>
        <v>3</v>
      </c>
      <c r="ACJ23" s="326">
        <f t="shared" ref="ACJ23" ca="1" si="7366">IFERROR(MATCH(ACJ12,ABX23:ACA23,0),0)</f>
        <v>0</v>
      </c>
      <c r="ACK23" s="326">
        <f t="shared" ca="1" si="3756"/>
        <v>6</v>
      </c>
      <c r="ACL23" s="325"/>
      <c r="ACM23" s="325" t="str">
        <f t="shared" ref="ACM23" ca="1" si="7367">VLOOKUP(2,XQ4:XR7,2,FALSE)</f>
        <v>Scotland</v>
      </c>
      <c r="ACN23" s="325">
        <f t="shared" ca="1" si="5181"/>
        <v>0</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2</v>
      </c>
      <c r="AGQ23" s="319" t="str">
        <f t="shared" si="67"/>
        <v>Ukraine</v>
      </c>
      <c r="AGR23" s="319" t="str">
        <f ca="1">IF(AND(OFFSET('Player Game Board'!P30,0,AGO1)&lt;&gt;"",OFFSET('Player Game Board'!Q30,0,AGO1)&lt;&gt;""),IF(AGO23&gt;AGP23,"W",IF(AGO23=AGP23,"D","L")),"")</f>
        <v>L</v>
      </c>
      <c r="AGS23" s="319" t="str">
        <f t="shared" ca="1" si="5665"/>
        <v>W</v>
      </c>
      <c r="AGT23" s="319"/>
      <c r="AGU23" s="319"/>
      <c r="AGV23" s="324" t="s">
        <v>102</v>
      </c>
      <c r="AGW23" s="325" t="s">
        <v>103</v>
      </c>
      <c r="AGX23" s="325" t="s">
        <v>104</v>
      </c>
      <c r="AGY23" s="325" t="s">
        <v>105</v>
      </c>
      <c r="AGZ23" s="324" t="s">
        <v>105</v>
      </c>
      <c r="AHA23" s="324" t="s">
        <v>104</v>
      </c>
      <c r="AHB23" s="324" t="s">
        <v>102</v>
      </c>
      <c r="AHC23" s="324" t="s">
        <v>103</v>
      </c>
      <c r="AHD23" s="325"/>
      <c r="AHE23" s="326">
        <f t="shared" ref="AHE23" ca="1" si="7368">IFERROR(MATCH(AHE12,AGV23:AGY23,0),0)</f>
        <v>0</v>
      </c>
      <c r="AHF23" s="326">
        <f t="shared" ref="AHF23" ca="1" si="7369">IFERROR(MATCH(AHF12,AGV23:AGY23,0),0)</f>
        <v>0</v>
      </c>
      <c r="AHG23" s="326">
        <f t="shared" ref="AHG23" ca="1" si="7370">IFERROR(MATCH(AHG12,AGV23:AGY23,0),0)</f>
        <v>1</v>
      </c>
      <c r="AHH23" s="326">
        <f t="shared" ref="AHH23" ca="1" si="7371">IFERROR(MATCH(AHH12,AGV23:AGY23,0),0)</f>
        <v>2</v>
      </c>
      <c r="AHI23" s="326">
        <f t="shared" ca="1" si="3826"/>
        <v>3</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1</v>
      </c>
      <c r="ALN23" s="322">
        <f ca="1">IF(OFFSET('Player Game Board'!Q30,0,ALM1)&lt;&gt;"",OFFSET('Player Game Board'!Q30,0,ALM1),0)</f>
        <v>3</v>
      </c>
      <c r="ALO23" s="319" t="str">
        <f t="shared" si="83"/>
        <v>Ukraine</v>
      </c>
      <c r="ALP23" s="319" t="str">
        <f ca="1">IF(AND(OFFSET('Player Game Board'!P30,0,ALM1)&lt;&gt;"",OFFSET('Player Game Board'!Q30,0,ALM1)&lt;&gt;""),IF(ALM23&gt;ALN23,"W",IF(ALM23=ALN23,"D","L")),"")</f>
        <v>L</v>
      </c>
      <c r="ALQ23" s="319" t="str">
        <f t="shared" ca="1" si="5720"/>
        <v>W</v>
      </c>
      <c r="ALR23" s="319"/>
      <c r="ALS23" s="319"/>
      <c r="ALT23" s="324" t="s">
        <v>102</v>
      </c>
      <c r="ALU23" s="325" t="s">
        <v>103</v>
      </c>
      <c r="ALV23" s="325" t="s">
        <v>104</v>
      </c>
      <c r="ALW23" s="325" t="s">
        <v>105</v>
      </c>
      <c r="ALX23" s="324" t="s">
        <v>105</v>
      </c>
      <c r="ALY23" s="324" t="s">
        <v>104</v>
      </c>
      <c r="ALZ23" s="324" t="s">
        <v>102</v>
      </c>
      <c r="AMA23" s="324" t="s">
        <v>103</v>
      </c>
      <c r="AMB23" s="325"/>
      <c r="AMC23" s="326">
        <f t="shared" ref="AMC23" ca="1" si="7373">IFERROR(MATCH(AMC12,ALT23:ALW23,0),0)</f>
        <v>1</v>
      </c>
      <c r="AMD23" s="326">
        <f t="shared" ref="AMD23" ca="1" si="7374">IFERROR(MATCH(AMD12,ALT23:ALW23,0),0)</f>
        <v>2</v>
      </c>
      <c r="AME23" s="326">
        <f t="shared" ref="AME23" ca="1" si="7375">IFERROR(MATCH(AME12,ALT23:ALW23,0),0)</f>
        <v>0</v>
      </c>
      <c r="AMF23" s="326">
        <f t="shared" ref="AMF23" ca="1" si="7376">IFERROR(MATCH(AMF12,ALT23:ALW23,0),0)</f>
        <v>4</v>
      </c>
      <c r="AMG23" s="326">
        <f t="shared" ca="1" si="3896"/>
        <v>7</v>
      </c>
      <c r="AMH23" s="325"/>
      <c r="AMI23" s="325" t="str">
        <f t="shared" ref="AMI23" ca="1" si="7377">VLOOKUP(2,AHM4:AHN7,2,FALSE)</f>
        <v>Switzerland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102</v>
      </c>
      <c r="AQS23" s="325" t="s">
        <v>103</v>
      </c>
      <c r="AQT23" s="325" t="s">
        <v>104</v>
      </c>
      <c r="AQU23" s="325" t="s">
        <v>105</v>
      </c>
      <c r="AQV23" s="324" t="s">
        <v>105</v>
      </c>
      <c r="AQW23" s="324" t="s">
        <v>104</v>
      </c>
      <c r="AQX23" s="324" t="s">
        <v>102</v>
      </c>
      <c r="AQY23" s="324" t="s">
        <v>103</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102</v>
      </c>
      <c r="AVQ23" s="325" t="s">
        <v>103</v>
      </c>
      <c r="AVR23" s="325" t="s">
        <v>104</v>
      </c>
      <c r="AVS23" s="325" t="s">
        <v>105</v>
      </c>
      <c r="AVT23" s="324" t="s">
        <v>105</v>
      </c>
      <c r="AVU23" s="324" t="s">
        <v>104</v>
      </c>
      <c r="AVV23" s="324" t="s">
        <v>102</v>
      </c>
      <c r="AVW23" s="324" t="s">
        <v>103</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102</v>
      </c>
      <c r="BAO23" s="325" t="s">
        <v>103</v>
      </c>
      <c r="BAP23" s="325" t="s">
        <v>104</v>
      </c>
      <c r="BAQ23" s="325" t="s">
        <v>105</v>
      </c>
      <c r="BAR23" s="324" t="s">
        <v>105</v>
      </c>
      <c r="BAS23" s="324" t="s">
        <v>104</v>
      </c>
      <c r="BAT23" s="324" t="s">
        <v>102</v>
      </c>
      <c r="BAU23" s="324" t="s">
        <v>103</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102</v>
      </c>
      <c r="BFM23" s="325" t="s">
        <v>103</v>
      </c>
      <c r="BFN23" s="325" t="s">
        <v>104</v>
      </c>
      <c r="BFO23" s="325" t="s">
        <v>105</v>
      </c>
      <c r="BFP23" s="324" t="s">
        <v>105</v>
      </c>
      <c r="BFQ23" s="324" t="s">
        <v>104</v>
      </c>
      <c r="BFR23" s="324" t="s">
        <v>102</v>
      </c>
      <c r="BFS23" s="324" t="s">
        <v>103</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102</v>
      </c>
      <c r="DI24" s="325" t="s">
        <v>103</v>
      </c>
      <c r="DJ24" s="325" t="s">
        <v>104</v>
      </c>
      <c r="DK24" s="325" t="s">
        <v>106</v>
      </c>
      <c r="DL24" s="324" t="s">
        <v>106</v>
      </c>
      <c r="DM24" s="324" t="s">
        <v>104</v>
      </c>
      <c r="DN24" s="324" t="s">
        <v>103</v>
      </c>
      <c r="DO24" s="324" t="s">
        <v>102</v>
      </c>
      <c r="DP24" s="325"/>
      <c r="DQ24" s="326">
        <f>IFERROR(MATCH(DQ12,DH24:DK24,0),0)</f>
        <v>3</v>
      </c>
      <c r="DR24" s="326">
        <f>IFERROR(MATCH(DR12,DH24:DK24,0),0)</f>
        <v>0</v>
      </c>
      <c r="DS24" s="326">
        <f>IFERROR(MATCH(DS12,DH24:DK24,0),0)</f>
        <v>2</v>
      </c>
      <c r="DT24" s="326">
        <f>IFERROR(MATCH(DT12,DH24:DK24,0),0)</f>
        <v>1</v>
      </c>
      <c r="DU24" s="326">
        <f t="shared" si="3541"/>
        <v>6</v>
      </c>
      <c r="DV24" s="325" t="s">
        <v>102</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5</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102</v>
      </c>
      <c r="IG24" s="325" t="s">
        <v>103</v>
      </c>
      <c r="IH24" s="325" t="s">
        <v>104</v>
      </c>
      <c r="II24" s="325" t="s">
        <v>106</v>
      </c>
      <c r="IJ24" s="324" t="s">
        <v>106</v>
      </c>
      <c r="IK24" s="324" t="s">
        <v>104</v>
      </c>
      <c r="IL24" s="324" t="s">
        <v>103</v>
      </c>
      <c r="IM24" s="324" t="s">
        <v>102</v>
      </c>
      <c r="IN24" s="325"/>
      <c r="IO24" s="326">
        <f ca="1">IFERROR(MATCH(IO12,IF24:II24,0),0)</f>
        <v>0</v>
      </c>
      <c r="IP24" s="326">
        <f ca="1">IFERROR(MATCH(IP12,IF24:II24,0),0)</f>
        <v>3</v>
      </c>
      <c r="IQ24" s="326">
        <f ca="1">IFERROR(MATCH(IQ12,IF24:II24,0),0)</f>
        <v>4</v>
      </c>
      <c r="IR24" s="326">
        <f ca="1">IFERROR(MATCH(IR12,IF24:II24,0),0)</f>
        <v>1</v>
      </c>
      <c r="IS24" s="326">
        <f t="shared" ca="1" si="3544"/>
        <v>8</v>
      </c>
      <c r="IT24" s="325" t="s">
        <v>102</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2</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102</v>
      </c>
      <c r="NE24" s="325" t="s">
        <v>103</v>
      </c>
      <c r="NF24" s="325" t="s">
        <v>104</v>
      </c>
      <c r="NG24" s="325" t="s">
        <v>106</v>
      </c>
      <c r="NH24" s="324" t="s">
        <v>106</v>
      </c>
      <c r="NI24" s="324" t="s">
        <v>104</v>
      </c>
      <c r="NJ24" s="324" t="s">
        <v>103</v>
      </c>
      <c r="NK24" s="324" t="s">
        <v>102</v>
      </c>
      <c r="NL24" s="325"/>
      <c r="NM24" s="326">
        <f ca="1">IFERROR(MATCH(NM12,ND24:NG24,0),0)</f>
        <v>1</v>
      </c>
      <c r="NN24" s="326">
        <f ca="1">IFERROR(MATCH(NN12,ND24:NG24,0),0)</f>
        <v>0</v>
      </c>
      <c r="NO24" s="326">
        <f ca="1">IFERROR(MATCH(NO12,ND24:NG24,0),0)</f>
        <v>4</v>
      </c>
      <c r="NP24" s="326">
        <f ca="1">IFERROR(MATCH(NP12,ND24:NG24,0),0)</f>
        <v>0</v>
      </c>
      <c r="NQ24" s="326">
        <f t="shared" ca="1" si="3547"/>
        <v>5</v>
      </c>
      <c r="NR24" s="325" t="s">
        <v>102</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1</v>
      </c>
      <c r="RW24" s="319" t="str">
        <f t="shared" si="19"/>
        <v>Romania</v>
      </c>
      <c r="RX24" s="319" t="str">
        <f ca="1">IF(AND(OFFSET('Player Game Board'!P31,0,RU1)&lt;&gt;"",OFFSET('Player Game Board'!Q31,0,RU1)&lt;&gt;""),IF(RU24&gt;RV24,"W",IF(RU24=RV24,"D","L")),"")</f>
        <v>L</v>
      </c>
      <c r="RY24" s="319" t="str">
        <f t="shared" ca="1" si="5500"/>
        <v>W</v>
      </c>
      <c r="RZ24" s="319"/>
      <c r="SA24" s="319"/>
      <c r="SB24" s="324" t="s">
        <v>102</v>
      </c>
      <c r="SC24" s="325" t="s">
        <v>103</v>
      </c>
      <c r="SD24" s="325" t="s">
        <v>104</v>
      </c>
      <c r="SE24" s="325" t="s">
        <v>106</v>
      </c>
      <c r="SF24" s="324" t="s">
        <v>106</v>
      </c>
      <c r="SG24" s="324" t="s">
        <v>104</v>
      </c>
      <c r="SH24" s="324" t="s">
        <v>103</v>
      </c>
      <c r="SI24" s="324" t="s">
        <v>102</v>
      </c>
      <c r="SJ24" s="325"/>
      <c r="SK24" s="326">
        <f t="shared" ref="SK24" ca="1" si="7398">IFERROR(MATCH(SK12,SB24:SE24,0),0)</f>
        <v>2</v>
      </c>
      <c r="SL24" s="326">
        <f t="shared" ref="SL24" ca="1" si="7399">IFERROR(MATCH(SL12,SB24:SE24,0),0)</f>
        <v>1</v>
      </c>
      <c r="SM24" s="326">
        <f t="shared" ref="SM24" ca="1" si="7400">IFERROR(MATCH(SM12,SB24:SE24,0),0)</f>
        <v>4</v>
      </c>
      <c r="SN24" s="326">
        <f t="shared" ref="SN24" ca="1" si="7401">IFERROR(MATCH(SN12,SB24:SE24,0),0)</f>
        <v>0</v>
      </c>
      <c r="SO24" s="326">
        <f t="shared" ca="1" si="3616"/>
        <v>7</v>
      </c>
      <c r="SP24" s="325" t="s">
        <v>102</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3</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102</v>
      </c>
      <c r="XA24" s="325" t="s">
        <v>103</v>
      </c>
      <c r="XB24" s="325" t="s">
        <v>104</v>
      </c>
      <c r="XC24" s="325" t="s">
        <v>106</v>
      </c>
      <c r="XD24" s="324" t="s">
        <v>106</v>
      </c>
      <c r="XE24" s="324" t="s">
        <v>104</v>
      </c>
      <c r="XF24" s="324" t="s">
        <v>103</v>
      </c>
      <c r="XG24" s="324" t="s">
        <v>102</v>
      </c>
      <c r="XH24" s="325"/>
      <c r="XI24" s="326">
        <f t="shared" ref="XI24" ca="1" si="7403">IFERROR(MATCH(XI12,WZ24:XC24,0),0)</f>
        <v>4</v>
      </c>
      <c r="XJ24" s="326">
        <f t="shared" ref="XJ24" ca="1" si="7404">IFERROR(MATCH(XJ12,WZ24:XC24,0),0)</f>
        <v>0</v>
      </c>
      <c r="XK24" s="326">
        <f t="shared" ref="XK24" ca="1" si="7405">IFERROR(MATCH(XK12,WZ24:XC24,0),0)</f>
        <v>1</v>
      </c>
      <c r="XL24" s="326">
        <f t="shared" ref="XL24" ca="1" si="7406">IFERROR(MATCH(XL12,WZ24:XC24,0),0)</f>
        <v>0</v>
      </c>
      <c r="XM24" s="326">
        <f t="shared" ca="1" si="3686"/>
        <v>5</v>
      </c>
      <c r="XN24" s="325" t="s">
        <v>102</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4</v>
      </c>
      <c r="ABR24" s="322">
        <f ca="1">IF(OFFSET('Player Game Board'!Q31,0,ABQ1)&lt;&gt;"",OFFSET('Player Game Board'!Q31,0,ABQ1),0)</f>
        <v>1</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102</v>
      </c>
      <c r="ABY24" s="325" t="s">
        <v>103</v>
      </c>
      <c r="ABZ24" s="325" t="s">
        <v>104</v>
      </c>
      <c r="ACA24" s="325" t="s">
        <v>106</v>
      </c>
      <c r="ACB24" s="324" t="s">
        <v>106</v>
      </c>
      <c r="ACC24" s="324" t="s">
        <v>104</v>
      </c>
      <c r="ACD24" s="324" t="s">
        <v>103</v>
      </c>
      <c r="ACE24" s="324" t="s">
        <v>102</v>
      </c>
      <c r="ACF24" s="325"/>
      <c r="ACG24" s="326">
        <f t="shared" ref="ACG24" ca="1" si="7408">IFERROR(MATCH(ACG12,ABX24:ACA24,0),0)</f>
        <v>2</v>
      </c>
      <c r="ACH24" s="326">
        <f t="shared" ref="ACH24" ca="1" si="7409">IFERROR(MATCH(ACH12,ABX24:ACA24,0),0)</f>
        <v>1</v>
      </c>
      <c r="ACI24" s="326">
        <f t="shared" ref="ACI24" ca="1" si="7410">IFERROR(MATCH(ACI12,ABX24:ACA24,0),0)</f>
        <v>3</v>
      </c>
      <c r="ACJ24" s="326">
        <f t="shared" ref="ACJ24" ca="1" si="7411">IFERROR(MATCH(ACJ12,ABX24:ACA24,0),0)</f>
        <v>0</v>
      </c>
      <c r="ACK24" s="326">
        <f t="shared" ca="1" si="3756"/>
        <v>6</v>
      </c>
      <c r="ACL24" s="325" t="s">
        <v>102</v>
      </c>
      <c r="ACM24" s="325" t="str">
        <f t="shared" ref="ACM24" ca="1" si="7412">VLOOKUP(1,XQ11:XR14,2,FALSE)</f>
        <v>Italy</v>
      </c>
      <c r="ACN24" s="325">
        <f t="shared" ca="1" si="5181"/>
        <v>1</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102</v>
      </c>
      <c r="AGW24" s="325" t="s">
        <v>103</v>
      </c>
      <c r="AGX24" s="325" t="s">
        <v>104</v>
      </c>
      <c r="AGY24" s="325" t="s">
        <v>106</v>
      </c>
      <c r="AGZ24" s="324" t="s">
        <v>106</v>
      </c>
      <c r="AHA24" s="324" t="s">
        <v>104</v>
      </c>
      <c r="AHB24" s="324" t="s">
        <v>103</v>
      </c>
      <c r="AHC24" s="324" t="s">
        <v>102</v>
      </c>
      <c r="AHD24" s="325"/>
      <c r="AHE24" s="326">
        <f t="shared" ref="AHE24" ca="1" si="7413">IFERROR(MATCH(AHE12,AGV24:AGY24,0),0)</f>
        <v>4</v>
      </c>
      <c r="AHF24" s="326">
        <f t="shared" ref="AHF24" ca="1" si="7414">IFERROR(MATCH(AHF12,AGV24:AGY24,0),0)</f>
        <v>0</v>
      </c>
      <c r="AHG24" s="326">
        <f t="shared" ref="AHG24" ca="1" si="7415">IFERROR(MATCH(AHG12,AGV24:AGY24,0),0)</f>
        <v>1</v>
      </c>
      <c r="AHH24" s="326">
        <f t="shared" ref="AHH24" ca="1" si="7416">IFERROR(MATCH(AHH12,AGV24:AGY24,0),0)</f>
        <v>2</v>
      </c>
      <c r="AHI24" s="326">
        <f t="shared" ca="1" si="3826"/>
        <v>7</v>
      </c>
      <c r="AHJ24" s="325" t="s">
        <v>102</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3</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102</v>
      </c>
      <c r="ALU24" s="325" t="s">
        <v>103</v>
      </c>
      <c r="ALV24" s="325" t="s">
        <v>104</v>
      </c>
      <c r="ALW24" s="325" t="s">
        <v>106</v>
      </c>
      <c r="ALX24" s="324" t="s">
        <v>106</v>
      </c>
      <c r="ALY24" s="324" t="s">
        <v>104</v>
      </c>
      <c r="ALZ24" s="324" t="s">
        <v>103</v>
      </c>
      <c r="AMA24" s="324" t="s">
        <v>102</v>
      </c>
      <c r="AMB24" s="325"/>
      <c r="AMC24" s="326">
        <f t="shared" ref="AMC24" ca="1" si="7418">IFERROR(MATCH(AMC12,ALT24:ALW24,0),0)</f>
        <v>1</v>
      </c>
      <c r="AMD24" s="326">
        <f t="shared" ref="AMD24" ca="1" si="7419">IFERROR(MATCH(AMD12,ALT24:ALW24,0),0)</f>
        <v>2</v>
      </c>
      <c r="AME24" s="326">
        <f t="shared" ref="AME24" ca="1" si="7420">IFERROR(MATCH(AME12,ALT24:ALW24,0),0)</f>
        <v>4</v>
      </c>
      <c r="AMF24" s="326">
        <f t="shared" ref="AMF24" ca="1" si="7421">IFERROR(MATCH(AMF12,ALT24:ALW24,0),0)</f>
        <v>0</v>
      </c>
      <c r="AMG24" s="326">
        <f t="shared" ca="1" si="3896"/>
        <v>7</v>
      </c>
      <c r="AMH24" s="325" t="s">
        <v>102</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102</v>
      </c>
      <c r="AQS24" s="325" t="s">
        <v>103</v>
      </c>
      <c r="AQT24" s="325" t="s">
        <v>104</v>
      </c>
      <c r="AQU24" s="325" t="s">
        <v>106</v>
      </c>
      <c r="AQV24" s="324" t="s">
        <v>106</v>
      </c>
      <c r="AQW24" s="324" t="s">
        <v>104</v>
      </c>
      <c r="AQX24" s="324" t="s">
        <v>103</v>
      </c>
      <c r="AQY24" s="324" t="s">
        <v>102</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102</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102</v>
      </c>
      <c r="AVQ24" s="325" t="s">
        <v>103</v>
      </c>
      <c r="AVR24" s="325" t="s">
        <v>104</v>
      </c>
      <c r="AVS24" s="325" t="s">
        <v>106</v>
      </c>
      <c r="AVT24" s="324" t="s">
        <v>106</v>
      </c>
      <c r="AVU24" s="324" t="s">
        <v>104</v>
      </c>
      <c r="AVV24" s="324" t="s">
        <v>103</v>
      </c>
      <c r="AVW24" s="324" t="s">
        <v>102</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102</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102</v>
      </c>
      <c r="BAO24" s="325" t="s">
        <v>103</v>
      </c>
      <c r="BAP24" s="325" t="s">
        <v>104</v>
      </c>
      <c r="BAQ24" s="325" t="s">
        <v>106</v>
      </c>
      <c r="BAR24" s="324" t="s">
        <v>106</v>
      </c>
      <c r="BAS24" s="324" t="s">
        <v>104</v>
      </c>
      <c r="BAT24" s="324" t="s">
        <v>103</v>
      </c>
      <c r="BAU24" s="324" t="s">
        <v>102</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102</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102</v>
      </c>
      <c r="BFM24" s="325" t="s">
        <v>103</v>
      </c>
      <c r="BFN24" s="325" t="s">
        <v>104</v>
      </c>
      <c r="BFO24" s="325" t="s">
        <v>106</v>
      </c>
      <c r="BFP24" s="324" t="s">
        <v>106</v>
      </c>
      <c r="BFQ24" s="324" t="s">
        <v>104</v>
      </c>
      <c r="BFR24" s="324" t="s">
        <v>103</v>
      </c>
      <c r="BFS24" s="324" t="s">
        <v>102</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102</v>
      </c>
      <c r="BGA24" s="325" t="str">
        <f t="shared" ref="BGA24" ca="1" si="7442">VLOOKUP(1,BBE11:BBF14,2,FALSE)</f>
        <v>Spain</v>
      </c>
      <c r="BGB24" s="325">
        <f t="shared" ca="1" si="5439"/>
        <v>1</v>
      </c>
    </row>
    <row r="25" spans="1:1536" ht="13.8" x14ac:dyDescent="0.3">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2</v>
      </c>
      <c r="F25" s="319">
        <f>SUMIF(CZ3:CZ60,B25,DA3:DA60)+SUMIF(DC3:DC60,B25,DB3:DB60)</f>
        <v>2</v>
      </c>
      <c r="G25" s="319">
        <f>SUMIF(DC3:DC60,B25,DA3:DA60)+SUMIF(CZ3:CZ60,B25,DB3:DB60)</f>
        <v>5</v>
      </c>
      <c r="H25" s="319">
        <f t="shared" ref="H25:H28" si="7443">F25-G25+1000</f>
        <v>997</v>
      </c>
      <c r="I25" s="319">
        <f t="shared" ref="I25:I28" si="7444">C25*3+D25*1</f>
        <v>0</v>
      </c>
      <c r="J25" s="319">
        <v>0</v>
      </c>
      <c r="K25" s="319">
        <f>IF(COUNTIF(I25:I29,4)&lt;&gt;4,RANK(I25,I25:I29),I65)</f>
        <v>4</v>
      </c>
      <c r="L25" s="319"/>
      <c r="M25" s="319">
        <f>SUMPRODUCT((K25:K28=K25)*(J25:J28&lt;J25))+K25</f>
        <v>4</v>
      </c>
      <c r="N25" s="319" t="str">
        <f>INDEX(B25:B29,MATCH(1,M25:M29,0),0)</f>
        <v>Austria</v>
      </c>
      <c r="O25" s="319">
        <f>INDEX(K25:K29,MATCH(N25,B25:B29,0),0)</f>
        <v>1</v>
      </c>
      <c r="P25" s="319" t="str">
        <f>IF(O26=1,N25,"")</f>
        <v>Austria</v>
      </c>
      <c r="Q25" s="319" t="str">
        <f>IF(O27=2,N26,"")</f>
        <v/>
      </c>
      <c r="R25" s="319" t="str">
        <f>IF(O28=3,N27,"")</f>
        <v/>
      </c>
      <c r="S25" s="319" t="str">
        <f>IF(O29=4,N28,"")</f>
        <v/>
      </c>
      <c r="T25" s="319"/>
      <c r="U25" s="319" t="str">
        <f>IF(P25&lt;&gt;"",P25,"")</f>
        <v>Austria</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1</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1</v>
      </c>
      <c r="AA25" s="319">
        <f>Y25-Z25+1000</f>
        <v>999</v>
      </c>
      <c r="AB25" s="319">
        <f t="shared" ref="AB25:AB28" si="7445">IF(U25&lt;&gt;"",V25*3+W25*1,"")</f>
        <v>0</v>
      </c>
      <c r="AC25" s="319">
        <f>IF(U25&lt;&gt;"",VLOOKUP(U25,B4:H40,7,FALSE),"")</f>
        <v>1001</v>
      </c>
      <c r="AD25" s="319">
        <f>IF(U25&lt;&gt;"",VLOOKUP(U25,B4:H40,5,FALSE),"")</f>
        <v>3</v>
      </c>
      <c r="AE25" s="319">
        <f>IF(U25&lt;&gt;"",VLOOKUP(U25,B4:J40,9,FALSE),"")</f>
        <v>41</v>
      </c>
      <c r="AF25" s="319">
        <f t="shared" ref="AF25:AF28" si="7446">AB25</f>
        <v>0</v>
      </c>
      <c r="AG25" s="319">
        <f>IF(U25&lt;&gt;"",RANK(AF25,AF25:AF29),"")</f>
        <v>2</v>
      </c>
      <c r="AH25" s="319">
        <f>IF(U25&lt;&gt;"",SUMPRODUCT((AF25:AF29=AF25)*(AA25:AA29&gt;AA25)),"")</f>
        <v>1</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3</v>
      </c>
      <c r="AN25" s="319" t="str">
        <f>IF(U25&lt;&gt;"",INDEX(U25:U29,MATCH(1,AM25:AM29,0),0),"")</f>
        <v>France</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France</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102</v>
      </c>
      <c r="DI25" s="325" t="s">
        <v>103</v>
      </c>
      <c r="DJ25" s="325" t="s">
        <v>105</v>
      </c>
      <c r="DK25" s="325" t="s">
        <v>106</v>
      </c>
      <c r="DL25" s="324" t="s">
        <v>106</v>
      </c>
      <c r="DM25" s="324" t="s">
        <v>105</v>
      </c>
      <c r="DN25" s="324" t="s">
        <v>103</v>
      </c>
      <c r="DO25" s="324" t="s">
        <v>102</v>
      </c>
      <c r="DP25" s="325"/>
      <c r="DQ25" s="326">
        <f>IFERROR(MATCH(DQ12,DH25:DK25,0),0)</f>
        <v>0</v>
      </c>
      <c r="DR25" s="326">
        <f>IFERROR(MATCH(DR12,DH25:DK25,0),0)</f>
        <v>3</v>
      </c>
      <c r="DS25" s="326">
        <f>IFERROR(MATCH(DS12,DH25:DK25,0),0)</f>
        <v>2</v>
      </c>
      <c r="DT25" s="326">
        <f>IFERROR(MATCH(DT12,DH25:DK25,0),0)</f>
        <v>1</v>
      </c>
      <c r="DU25" s="326">
        <f t="shared" si="3541"/>
        <v>6</v>
      </c>
      <c r="DV25" s="325"/>
      <c r="DW25" s="325" t="str">
        <f>VLOOKUP(2,A11:B14,2,FALSE)</f>
        <v>Italy</v>
      </c>
      <c r="DX25" s="325"/>
      <c r="DY25" s="319">
        <f ca="1">VLOOKUP(DZ25,HU25:HV29,2,FALSE)</f>
        <v>4</v>
      </c>
      <c r="DZ25" s="319" t="str">
        <f>B25</f>
        <v>Poland</v>
      </c>
      <c r="EA25" s="319">
        <f ca="1">SUMPRODUCT((HX3:HX42=DZ25)*(IB3:IB42="W"))+SUMPRODUCT((IA3:IA42=DZ25)*(IC3:IC42="W"))</f>
        <v>0</v>
      </c>
      <c r="EB25" s="319">
        <f ca="1">SUMPRODUCT((HX3:HX42=DZ25)*(IB3:IB42="D"))+SUMPRODUCT((IA3:IA42=DZ25)*(IC3:IC42="D"))</f>
        <v>0</v>
      </c>
      <c r="EC25" s="319">
        <f ca="1">SUMPRODUCT((HX3:HX42=DZ25)*(IB3:IB42="L"))+SUMPRODUCT((IA3:IA42=DZ25)*(IC3:IC42="L"))</f>
        <v>3</v>
      </c>
      <c r="ED25" s="319">
        <f ca="1">SUMIF(HX3:HX60,DZ25,HY3:HY60)+SUMIF(IA3:IA60,DZ25,HZ3:HZ60)</f>
        <v>2</v>
      </c>
      <c r="EE25" s="319">
        <f ca="1">SUMIF(IA3:IA60,DZ25,HY3:HY60)+SUMIF(HX3:HX60,DZ25,HZ3:HZ60)</f>
        <v>9</v>
      </c>
      <c r="EF25" s="319">
        <f t="shared" ref="EF25:EF28" ca="1" si="7447">ED25-EE25+1000</f>
        <v>993</v>
      </c>
      <c r="EG25" s="319">
        <f t="shared" ref="EG25:EG28" ca="1" si="7448">EA25*3+EB25*1</f>
        <v>0</v>
      </c>
      <c r="EH25" s="319">
        <f t="shared" si="609"/>
        <v>0</v>
      </c>
      <c r="EI25" s="319">
        <f ca="1">IF(COUNTIF(EG25:EG29,4)&lt;&gt;4,RANK(EG25,EG25:EG29),EG65)</f>
        <v>4</v>
      </c>
      <c r="EJ25" s="319"/>
      <c r="EK25" s="319">
        <f ca="1">SUMPRODUCT((EI25:EI28=EI25)*(EH25:EH28&lt;EH25))+EI25</f>
        <v>4</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3</v>
      </c>
      <c r="IA25" s="319" t="str">
        <f t="shared" si="165"/>
        <v>Portugal</v>
      </c>
      <c r="IB25" s="319" t="str">
        <f ca="1">IF(AND(OFFSET('Player Game Board'!P32,0,HY1)&lt;&gt;"",OFFSET('Player Game Board'!Q32,0,HY1)&lt;&gt;""),IF(HY25&gt;HZ25,"W",IF(HY25=HZ25,"D","L")),"")</f>
        <v>L</v>
      </c>
      <c r="IC25" s="319" t="str">
        <f t="shared" ca="1" si="166"/>
        <v>W</v>
      </c>
      <c r="ID25" s="319"/>
      <c r="IE25" s="319"/>
      <c r="IF25" s="324" t="s">
        <v>102</v>
      </c>
      <c r="IG25" s="325" t="s">
        <v>103</v>
      </c>
      <c r="IH25" s="325" t="s">
        <v>105</v>
      </c>
      <c r="II25" s="325" t="s">
        <v>106</v>
      </c>
      <c r="IJ25" s="324" t="s">
        <v>106</v>
      </c>
      <c r="IK25" s="324" t="s">
        <v>105</v>
      </c>
      <c r="IL25" s="324" t="s">
        <v>103</v>
      </c>
      <c r="IM25" s="324" t="s">
        <v>102</v>
      </c>
      <c r="IN25" s="325"/>
      <c r="IO25" s="326">
        <f ca="1">IFERROR(MATCH(IO12,IF25:II25,0),0)</f>
        <v>0</v>
      </c>
      <c r="IP25" s="326">
        <f ca="1">IFERROR(MATCH(IP12,IF25:II25,0),0)</f>
        <v>0</v>
      </c>
      <c r="IQ25" s="326">
        <f ca="1">IFERROR(MATCH(IQ12,IF25:II25,0),0)</f>
        <v>4</v>
      </c>
      <c r="IR25" s="326">
        <f ca="1">IFERROR(MATCH(IR12,IF25:II25,0),0)</f>
        <v>1</v>
      </c>
      <c r="IS25" s="326">
        <f t="shared" ca="1" si="3544"/>
        <v>5</v>
      </c>
      <c r="IT25" s="325"/>
      <c r="IU25" s="325" t="str">
        <f ca="1">VLOOKUP(2,DY11:DZ14,2,FALSE)</f>
        <v>Italy</v>
      </c>
      <c r="IV25" s="325">
        <f t="shared" ca="1" si="5047"/>
        <v>1</v>
      </c>
      <c r="IW25" s="319">
        <f ca="1">VLOOKUP(IX25,MS25:MT29,2,FALSE)</f>
        <v>2</v>
      </c>
      <c r="IX25" s="319" t="str">
        <f>DZ25</f>
        <v>Poland</v>
      </c>
      <c r="IY25" s="319">
        <f ca="1">SUMPRODUCT((MV3:MV42=IX25)*(MZ3:MZ42="W"))+SUMPRODUCT((MY3:MY42=IX25)*(NA3:NA42="W"))</f>
        <v>1</v>
      </c>
      <c r="IZ25" s="319">
        <f ca="1">SUMPRODUCT((MV3:MV42=IX25)*(MZ3:MZ42="D"))+SUMPRODUCT((MY3:MY42=IX25)*(NA3:NA42="D"))</f>
        <v>2</v>
      </c>
      <c r="JA25" s="319">
        <f ca="1">SUMPRODUCT((MV3:MV42=IX25)*(MZ3:MZ42="L"))+SUMPRODUCT((MY3:MY42=IX25)*(NA3:NA42="L"))</f>
        <v>0</v>
      </c>
      <c r="JB25" s="319">
        <f ca="1">SUMIF(MV3:MV60,IX25,MW3:MW60)+SUMIF(MY3:MY60,IX25,MX3:MX60)</f>
        <v>4</v>
      </c>
      <c r="JC25" s="319">
        <f ca="1">SUMIF(MY3:MY60,IX25,MW3:MW60)+SUMIF(MV3:MV60,IX25,MX3:MX60)</f>
        <v>3</v>
      </c>
      <c r="JD25" s="319">
        <f t="shared" ref="JD25:JD28" ca="1" si="7451">JB25-JC25+1000</f>
        <v>1001</v>
      </c>
      <c r="JE25" s="319">
        <f t="shared" ref="JE25:JE28" ca="1" si="7452">IY25*3+IZ25*1</f>
        <v>5</v>
      </c>
      <c r="JF25" s="319">
        <f t="shared" si="618"/>
        <v>0</v>
      </c>
      <c r="JG25" s="319">
        <f ca="1">IF(COUNTIF(JE25:JE29,4)&lt;&gt;4,RANK(JE25,JE25:JE29),JE65)</f>
        <v>2</v>
      </c>
      <c r="JH25" s="319"/>
      <c r="JI25" s="319">
        <f ca="1">SUMPRODUCT((JG25:JG28=JG25)*(JF25:JF28&lt;JF25))+JG25</f>
        <v>2</v>
      </c>
      <c r="JJ25" s="319" t="str">
        <f ca="1">INDEX(IX25:IX29,MATCH(1,JI25:JI29,0),0)</f>
        <v>France</v>
      </c>
      <c r="JK25" s="319">
        <f ca="1">INDEX(JG25:JG29,MATCH(JJ25,IX25:IX29,0),0)</f>
        <v>1</v>
      </c>
      <c r="JL25" s="319" t="str">
        <f ca="1">IF(JK26=1,JJ25,"")</f>
        <v/>
      </c>
      <c r="JM25" s="319" t="str">
        <f ca="1">IF(JK27=2,JJ26,"")</f>
        <v/>
      </c>
      <c r="JN25" s="319" t="str">
        <f ca="1">IF(JK28=3,JJ27,"")</f>
        <v/>
      </c>
      <c r="JO25" s="319" t="str">
        <f>IF(JK29=4,JJ28,"")</f>
        <v/>
      </c>
      <c r="JP25" s="319"/>
      <c r="JQ25" s="319" t="str">
        <f ca="1">IF(JL25&lt;&gt;"",JL25,"")</f>
        <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19">
        <f ca="1">JU25-JV25+1000</f>
        <v>1000</v>
      </c>
      <c r="JX25" s="319" t="str">
        <f t="shared" ref="JX25:JX28" ca="1" si="7453">IF(JQ25&lt;&gt;"",JR25*3+JS25*1,"")</f>
        <v/>
      </c>
      <c r="JY25" s="319" t="str">
        <f ca="1">IF(JQ25&lt;&gt;"",VLOOKUP(JQ25,IX4:JD40,7,FALSE),"")</f>
        <v/>
      </c>
      <c r="JZ25" s="319" t="str">
        <f ca="1">IF(JQ25&lt;&gt;"",VLOOKUP(JQ25,IX4:JD40,5,FALSE),"")</f>
        <v/>
      </c>
      <c r="KA25" s="319" t="str">
        <f ca="1">IF(JQ25&lt;&gt;"",VLOOKUP(JQ25,IX4:JF40,9,FALSE),"")</f>
        <v/>
      </c>
      <c r="KB25" s="319" t="str">
        <f t="shared" ref="KB25:KB28" ca="1" si="7454">JX25</f>
        <v/>
      </c>
      <c r="KC25" s="319" t="str">
        <f ca="1">IF(JQ25&lt;&gt;"",RANK(KB25,KB25:KB29),"")</f>
        <v/>
      </c>
      <c r="KD25" s="319" t="str">
        <f ca="1">IF(JQ25&lt;&gt;"",SUMPRODUCT((KB25:KB29=KB25)*(JW25:JW29&gt;JW25)),"")</f>
        <v/>
      </c>
      <c r="KE25" s="319" t="str">
        <f ca="1">IF(JQ25&lt;&gt;"",SUMPRODUCT((KB25:KB29=KB25)*(JW25:JW29=JW25)*(JU25:JU29&gt;JU25)),"")</f>
        <v/>
      </c>
      <c r="KF25" s="319" t="str">
        <f ca="1">IF(JQ25&lt;&gt;"",SUMPRODUCT((KB25:KB29=KB25)*(JW25:JW29=JW25)*(JU25:JU29=JU25)*(JY25:JY29&gt;JY25)),"")</f>
        <v/>
      </c>
      <c r="KG25" s="319" t="str">
        <f ca="1">IF(JQ25&lt;&gt;"",SUMPRODUCT((KB25:KB29=KB25)*(JW25:JW29=JW25)*(JU25:JU29=JU25)*(JY25:JY29=JY25)*(JZ25:JZ29&gt;JZ25)),"")</f>
        <v/>
      </c>
      <c r="KH25" s="319" t="str">
        <f ca="1">IF(JQ25&lt;&gt;"",SUMPRODUCT((KB25:KB29=KB25)*(JW25:JW29=JW25)*(JU25:JU29=JU25)*(JY25:JY29=JY25)*(JZ25:JZ29=JZ25)*(KA25:KA29&gt;KA25)),"")</f>
        <v/>
      </c>
      <c r="KI25" s="319" t="str">
        <f ca="1">IF(JQ25&lt;&gt;"",IF(KI65&lt;&gt;"",IF(JP64=3,KI65,KI65+JP64),SUM(KC25:KH25)),"")</f>
        <v/>
      </c>
      <c r="KJ25" s="319" t="str">
        <f ca="1">IF(JQ25&lt;&gt;"",INDEX(JQ25:JQ29,MATCH(1,KI25:KI29,0),0),"")</f>
        <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0</v>
      </c>
      <c r="MX25" s="322">
        <f ca="1">IF(OFFSET('Player Game Board'!Q32,0,MW1)&lt;&gt;"",OFFSET('Player Game Board'!Q32,0,MW1),0)</f>
        <v>1</v>
      </c>
      <c r="MY25" s="319" t="str">
        <f t="shared" si="171"/>
        <v>Portugal</v>
      </c>
      <c r="MZ25" s="319" t="str">
        <f ca="1">IF(AND(OFFSET('Player Game Board'!P32,0,MW1)&lt;&gt;"",OFFSET('Player Game Board'!Q32,0,MW1)&lt;&gt;""),IF(MW25&gt;MX25,"W",IF(MW25=MX25,"D","L")),"")</f>
        <v>L</v>
      </c>
      <c r="NA25" s="319" t="str">
        <f t="shared" ca="1" si="172"/>
        <v>W</v>
      </c>
      <c r="NB25" s="319"/>
      <c r="NC25" s="319"/>
      <c r="ND25" s="324" t="s">
        <v>102</v>
      </c>
      <c r="NE25" s="325" t="s">
        <v>103</v>
      </c>
      <c r="NF25" s="325" t="s">
        <v>105</v>
      </c>
      <c r="NG25" s="325" t="s">
        <v>106</v>
      </c>
      <c r="NH25" s="324" t="s">
        <v>106</v>
      </c>
      <c r="NI25" s="324" t="s">
        <v>105</v>
      </c>
      <c r="NJ25" s="324" t="s">
        <v>103</v>
      </c>
      <c r="NK25" s="324" t="s">
        <v>102</v>
      </c>
      <c r="NL25" s="325"/>
      <c r="NM25" s="326">
        <f ca="1">IFERROR(MATCH(NM12,ND25:NG25,0),0)</f>
        <v>1</v>
      </c>
      <c r="NN25" s="326">
        <f ca="1">IFERROR(MATCH(NN12,ND25:NG25,0),0)</f>
        <v>0</v>
      </c>
      <c r="NO25" s="326">
        <f ca="1">IFERROR(MATCH(NO12,ND25:NG25,0),0)</f>
        <v>4</v>
      </c>
      <c r="NP25" s="326">
        <f ca="1">IFERROR(MATCH(NP12,ND25:NG25,0),0)</f>
        <v>3</v>
      </c>
      <c r="NQ25" s="326">
        <f t="shared" ca="1" si="3547"/>
        <v>8</v>
      </c>
      <c r="NR25" s="325"/>
      <c r="NS25" s="325" t="str">
        <f ca="1">VLOOKUP(2,IW11:IX14,2,FALSE)</f>
        <v>Italy</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1</v>
      </c>
      <c r="NY25" s="319">
        <f t="shared" ref="NY25" ca="1" si="7459">SUMPRODUCT((RT3:RT42=NV25)*(RX3:RX42="L"))+SUMPRODUCT((RW3:RW42=NV25)*(RY3:RY42="L"))</f>
        <v>2</v>
      </c>
      <c r="NZ25" s="319">
        <f t="shared" ref="NZ25" ca="1" si="7460">SUMIF(RT3:RT60,NV25,RU3:RU60)+SUMIF(RW3:RW60,NV25,RV3:RV60)</f>
        <v>3</v>
      </c>
      <c r="OA25" s="319">
        <f t="shared" ref="OA25" ca="1" si="7461">SUMIF(RW3:RW60,NV25,RU3:RU60)+SUMIF(RT3:RT60,NV25,RV3:RV60)</f>
        <v>5</v>
      </c>
      <c r="OB25" s="319">
        <f t="shared" ref="OB25:OB28" ca="1" si="7462">NZ25-OA25+1000</f>
        <v>998</v>
      </c>
      <c r="OC25" s="319">
        <f t="shared" ref="OC25:OC28" ca="1" si="7463">NW25*3+NX25*1</f>
        <v>1</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France</v>
      </c>
      <c r="OI25" s="319">
        <f t="shared" ref="OI25" ca="1" si="7467">INDEX(OE25:OE29,MATCH(OH25,NV25:NV29,0),0)</f>
        <v>1</v>
      </c>
      <c r="OJ25" s="319" t="str">
        <f t="shared" ref="OJ25" ca="1" si="7468">IF(OI26=1,OH25,"")</f>
        <v/>
      </c>
      <c r="OK25" s="319" t="str">
        <f t="shared" ref="OK25" ca="1" si="7469">IF(OI27=2,OH26,"")</f>
        <v/>
      </c>
      <c r="OL25" s="319" t="str">
        <f t="shared" ref="OL25" ca="1" si="7470">IF(OI28=3,OH27,"")</f>
        <v/>
      </c>
      <c r="OM25" s="319" t="str">
        <f t="shared" ref="OM25" si="7471">IF(OI29=4,OH28,"")</f>
        <v/>
      </c>
      <c r="ON25" s="319"/>
      <c r="OO25" s="319" t="str">
        <f t="shared" ref="OO25:OO28" ca="1" si="7472">IF(OJ25&lt;&gt;"",OJ25,"")</f>
        <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t="str">
        <f t="shared" ref="OV25:OV28" ca="1" si="7479">IF(OO25&lt;&gt;"",OP25*3+OQ25*1,"")</f>
        <v/>
      </c>
      <c r="OW25" s="319" t="str">
        <f t="shared" ref="OW25" ca="1" si="7480">IF(OO25&lt;&gt;"",VLOOKUP(OO25,NV4:OB40,7,FALSE),"")</f>
        <v/>
      </c>
      <c r="OX25" s="319" t="str">
        <f t="shared" ref="OX25" ca="1" si="7481">IF(OO25&lt;&gt;"",VLOOKUP(OO25,NV4:OB40,5,FALSE),"")</f>
        <v/>
      </c>
      <c r="OY25" s="319" t="str">
        <f t="shared" ref="OY25" ca="1" si="7482">IF(OO25&lt;&gt;"",VLOOKUP(OO25,NV4:OD40,9,FALSE),"")</f>
        <v/>
      </c>
      <c r="OZ25" s="319" t="str">
        <f t="shared" ref="OZ25:OZ28" ca="1" si="7483">OV25</f>
        <v/>
      </c>
      <c r="PA25" s="319" t="str">
        <f t="shared" ref="PA25" ca="1" si="7484">IF(OO25&lt;&gt;"",RANK(OZ25,OZ25:OZ29),"")</f>
        <v/>
      </c>
      <c r="PB25" s="319" t="str">
        <f t="shared" ref="PB25" ca="1" si="7485">IF(OO25&lt;&gt;"",SUMPRODUCT((OZ25:OZ29=OZ25)*(OU25:OU29&gt;OU25)),"")</f>
        <v/>
      </c>
      <c r="PC25" s="319" t="str">
        <f t="shared" ref="PC25" ca="1" si="7486">IF(OO25&lt;&gt;"",SUMPRODUCT((OZ25:OZ29=OZ25)*(OU25:OU29=OU25)*(OS25:OS29&gt;OS25)),"")</f>
        <v/>
      </c>
      <c r="PD25" s="319" t="str">
        <f t="shared" ref="PD25" ca="1" si="7487">IF(OO25&lt;&gt;"",SUMPRODUCT((OZ25:OZ29=OZ25)*(OU25:OU29=OU25)*(OS25:OS29=OS25)*(OW25:OW29&gt;OW25)),"")</f>
        <v/>
      </c>
      <c r="PE25" s="319" t="str">
        <f t="shared" ref="PE25" ca="1" si="7488">IF(OO25&lt;&gt;"",SUMPRODUCT((OZ25:OZ29=OZ25)*(OU25:OU29=OU25)*(OS25:OS29=OS25)*(OW25:OW29=OW25)*(OX25:OX29&gt;OX25)),"")</f>
        <v/>
      </c>
      <c r="PF25" s="319" t="str">
        <f t="shared" ref="PF25" ca="1" si="7489">IF(OO25&lt;&gt;"",SUMPRODUCT((OZ25:OZ29=OZ25)*(OU25:OU29=OU25)*(OS25:OS29=OS25)*(OW25:OW29=OW25)*(OX25:OX29=OX25)*(OY25:OY29&gt;OY25)),"")</f>
        <v/>
      </c>
      <c r="PG25" s="319" t="str">
        <f ca="1">IF(OO25&lt;&gt;"",IF(PG65&lt;&gt;"",IF(ON64=3,PG65,PG65+ON64),SUM(PA25:PF25)),"")</f>
        <v/>
      </c>
      <c r="PH25" s="319" t="str">
        <f t="shared" ref="PH25" ca="1" si="7490">IF(OO25&lt;&gt;"",INDEX(OO25:OO29,MATCH(1,PG25:PG29,0),0),"")</f>
        <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1</v>
      </c>
      <c r="RV25" s="322">
        <f ca="1">IF(OFFSET('Player Game Board'!Q32,0,RU1)&lt;&gt;"",OFFSET('Player Game Board'!Q32,0,RU1),0)</f>
        <v>1</v>
      </c>
      <c r="RW25" s="319" t="str">
        <f t="shared" si="19"/>
        <v>Portugal</v>
      </c>
      <c r="RX25" s="319" t="str">
        <f ca="1">IF(AND(OFFSET('Player Game Board'!P32,0,RU1)&lt;&gt;"",OFFSET('Player Game Board'!Q32,0,RU1)&lt;&gt;""),IF(RU25&gt;RV25,"W",IF(RU25=RV25,"D","L")),"")</f>
        <v>D</v>
      </c>
      <c r="RY25" s="319" t="str">
        <f t="shared" ca="1" si="5500"/>
        <v>D</v>
      </c>
      <c r="RZ25" s="319"/>
      <c r="SA25" s="319"/>
      <c r="SB25" s="324" t="s">
        <v>102</v>
      </c>
      <c r="SC25" s="325" t="s">
        <v>103</v>
      </c>
      <c r="SD25" s="325" t="s">
        <v>105</v>
      </c>
      <c r="SE25" s="325" t="s">
        <v>106</v>
      </c>
      <c r="SF25" s="324" t="s">
        <v>106</v>
      </c>
      <c r="SG25" s="324" t="s">
        <v>105</v>
      </c>
      <c r="SH25" s="324" t="s">
        <v>103</v>
      </c>
      <c r="SI25" s="324" t="s">
        <v>102</v>
      </c>
      <c r="SJ25" s="325"/>
      <c r="SK25" s="326">
        <f t="shared" ref="SK25" ca="1" si="7492">IFERROR(MATCH(SK12,SB25:SE25,0),0)</f>
        <v>2</v>
      </c>
      <c r="SL25" s="326">
        <f t="shared" ref="SL25" ca="1" si="7493">IFERROR(MATCH(SL12,SB25:SE25,0),0)</f>
        <v>1</v>
      </c>
      <c r="SM25" s="326">
        <f t="shared" ref="SM25" ca="1" si="7494">IFERROR(MATCH(SM12,SB25:SE25,0),0)</f>
        <v>4</v>
      </c>
      <c r="SN25" s="326">
        <f t="shared" ref="SN25" ca="1" si="7495">IFERROR(MATCH(SN12,SB25:SE25,0),0)</f>
        <v>3</v>
      </c>
      <c r="SO25" s="326">
        <f t="shared" ca="1" si="3616"/>
        <v>10</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0</v>
      </c>
      <c r="SV25" s="319">
        <f t="shared" ref="SV25" ca="1" si="7500">SUMPRODUCT((WR3:WR42=ST25)*(WV3:WV42="D"))+SUMPRODUCT((WU3:WU42=ST25)*(WW3:WW42="D"))</f>
        <v>2</v>
      </c>
      <c r="SW25" s="319">
        <f t="shared" ref="SW25" ca="1" si="7501">SUMPRODUCT((WR3:WR42=ST25)*(WV3:WV42="L"))+SUMPRODUCT((WU3:WU42=ST25)*(WW3:WW42="L"))</f>
        <v>1</v>
      </c>
      <c r="SX25" s="319">
        <f t="shared" ref="SX25" ca="1" si="7502">SUMIF(WR3:WR60,ST25,WS3:WS60)+SUMIF(WU3:WU60,ST25,WT3:WT60)</f>
        <v>2</v>
      </c>
      <c r="SY25" s="319">
        <f t="shared" ref="SY25" ca="1" si="7503">SUMIF(WU3:WU60,ST25,WS3:WS60)+SUMIF(WR3:WR60,ST25,WT3:WT60)</f>
        <v>3</v>
      </c>
      <c r="SZ25" s="319">
        <f t="shared" ref="SZ25:SZ28" ca="1" si="7504">SX25-SY25+1000</f>
        <v>999</v>
      </c>
      <c r="TA25" s="319">
        <f t="shared" ref="TA25:TA28" ca="1" si="7505">SU25*3+SV25*1</f>
        <v>2</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1</v>
      </c>
      <c r="WU25" s="319" t="str">
        <f t="shared" si="35"/>
        <v>Portugal</v>
      </c>
      <c r="WV25" s="319" t="str">
        <f ca="1">IF(AND(OFFSET('Player Game Board'!P32,0,WS1)&lt;&gt;"",OFFSET('Player Game Board'!Q32,0,WS1)&lt;&gt;""),IF(WS25&gt;WT25,"W",IF(WS25=WT25,"D","L")),"")</f>
        <v>D</v>
      </c>
      <c r="WW25" s="319" t="str">
        <f t="shared" ca="1" si="5555"/>
        <v>D</v>
      </c>
      <c r="WX25" s="319"/>
      <c r="WY25" s="319"/>
      <c r="WZ25" s="324" t="s">
        <v>102</v>
      </c>
      <c r="XA25" s="325" t="s">
        <v>103</v>
      </c>
      <c r="XB25" s="325" t="s">
        <v>105</v>
      </c>
      <c r="XC25" s="325" t="s">
        <v>106</v>
      </c>
      <c r="XD25" s="324" t="s">
        <v>106</v>
      </c>
      <c r="XE25" s="324" t="s">
        <v>105</v>
      </c>
      <c r="XF25" s="324" t="s">
        <v>103</v>
      </c>
      <c r="XG25" s="324" t="s">
        <v>102</v>
      </c>
      <c r="XH25" s="325"/>
      <c r="XI25" s="326">
        <f t="shared" ref="XI25" ca="1" si="7534">IFERROR(MATCH(XI12,WZ25:XC25,0),0)</f>
        <v>4</v>
      </c>
      <c r="XJ25" s="326">
        <f t="shared" ref="XJ25" ca="1" si="7535">IFERROR(MATCH(XJ12,WZ25:XC25,0),0)</f>
        <v>3</v>
      </c>
      <c r="XK25" s="326">
        <f t="shared" ref="XK25" ca="1" si="7536">IFERROR(MATCH(XK12,WZ25:XC25,0),0)</f>
        <v>1</v>
      </c>
      <c r="XL25" s="326">
        <f t="shared" ref="XL25" ca="1" si="7537">IFERROR(MATCH(XL12,WZ25:XC25,0),0)</f>
        <v>0</v>
      </c>
      <c r="XM25" s="326">
        <f t="shared" ca="1" si="3686"/>
        <v>8</v>
      </c>
      <c r="XN25" s="325"/>
      <c r="XO25" s="325" t="str">
        <f t="shared" ref="XO25" ca="1" si="7538">VLOOKUP(2,SS11:ST14,2,FALSE)</f>
        <v>Italy</v>
      </c>
      <c r="XP25" s="325">
        <f t="shared" ca="1" si="5138"/>
        <v>1</v>
      </c>
      <c r="XQ25" s="319">
        <f t="shared" ref="XQ25" ca="1" si="7539">VLOOKUP(XR25,ABM25:ABN29,2,FALSE)</f>
        <v>4</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1</v>
      </c>
      <c r="XU25" s="319">
        <f t="shared" ref="XU25" ca="1" si="7543">SUMPRODUCT((ABP3:ABP42=XR25)*(ABT3:ABT42="L"))+SUMPRODUCT((ABS3:ABS42=XR25)*(ABU3:ABU42="L"))</f>
        <v>2</v>
      </c>
      <c r="XV25" s="319">
        <f t="shared" ref="XV25" ca="1" si="7544">SUMIF(ABP3:ABP60,XR25,ABQ3:ABQ60)+SUMIF(ABS3:ABS60,XR25,ABR3:ABR60)</f>
        <v>1</v>
      </c>
      <c r="XW25" s="319">
        <f t="shared" ref="XW25" ca="1" si="7545">SUMIF(ABS3:ABS60,XR25,ABQ3:ABQ60)+SUMIF(ABP3:ABP60,XR25,ABR3:ABR60)</f>
        <v>7</v>
      </c>
      <c r="XX25" s="319">
        <f t="shared" ref="XX25:XX28" ca="1" si="7546">XV25-XW25+1000</f>
        <v>994</v>
      </c>
      <c r="XY25" s="319">
        <f t="shared" ref="XY25:XY28" ca="1" si="7547">XS25*3+XT25*1</f>
        <v>1</v>
      </c>
      <c r="XZ25" s="319">
        <f t="shared" si="750"/>
        <v>0</v>
      </c>
      <c r="YA25" s="319">
        <f t="shared" ref="YA25" ca="1" si="7548">IF(COUNTIF(XY25:XY29,4)&lt;&gt;4,RANK(XY25,XY25:XY29),XY65)</f>
        <v>4</v>
      </c>
      <c r="YB25" s="319"/>
      <c r="YC25" s="319">
        <f t="shared" ref="YC25" ca="1" si="7549">SUMPRODUCT((YA25:YA28=YA25)*(XZ25:XZ28&lt;XZ25))+YA25</f>
        <v>4</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2</v>
      </c>
      <c r="ABS25" s="319" t="str">
        <f t="shared" si="51"/>
        <v>Portugal</v>
      </c>
      <c r="ABT25" s="319" t="str">
        <f ca="1">IF(AND(OFFSET('Player Game Board'!P32,0,ABQ1)&lt;&gt;"",OFFSET('Player Game Board'!Q32,0,ABQ1)&lt;&gt;""),IF(ABQ25&gt;ABR25,"W",IF(ABQ25=ABR25,"D","L")),"")</f>
        <v>D</v>
      </c>
      <c r="ABU25" s="319" t="str">
        <f t="shared" ca="1" si="5610"/>
        <v>D</v>
      </c>
      <c r="ABV25" s="319"/>
      <c r="ABW25" s="319"/>
      <c r="ABX25" s="324" t="s">
        <v>102</v>
      </c>
      <c r="ABY25" s="325" t="s">
        <v>103</v>
      </c>
      <c r="ABZ25" s="325" t="s">
        <v>105</v>
      </c>
      <c r="ACA25" s="325" t="s">
        <v>106</v>
      </c>
      <c r="ACB25" s="324" t="s">
        <v>106</v>
      </c>
      <c r="ACC25" s="324" t="s">
        <v>105</v>
      </c>
      <c r="ACD25" s="324" t="s">
        <v>103</v>
      </c>
      <c r="ACE25" s="324" t="s">
        <v>102</v>
      </c>
      <c r="ACF25" s="325"/>
      <c r="ACG25" s="326">
        <f t="shared" ref="ACG25" ca="1" si="7576">IFERROR(MATCH(ACG12,ABX25:ACA25,0),0)</f>
        <v>2</v>
      </c>
      <c r="ACH25" s="326">
        <f t="shared" ref="ACH25" ca="1" si="7577">IFERROR(MATCH(ACH12,ABX25:ACA25,0),0)</f>
        <v>1</v>
      </c>
      <c r="ACI25" s="326">
        <f t="shared" ref="ACI25" ca="1" si="7578">IFERROR(MATCH(ACI12,ABX25:ACA25,0),0)</f>
        <v>0</v>
      </c>
      <c r="ACJ25" s="326">
        <f t="shared" ref="ACJ25" ca="1" si="7579">IFERROR(MATCH(ACJ12,ABX25:ACA25,0),0)</f>
        <v>0</v>
      </c>
      <c r="ACK25" s="326">
        <f t="shared" ca="1" si="3756"/>
        <v>3</v>
      </c>
      <c r="ACL25" s="325"/>
      <c r="ACM25" s="325" t="str">
        <f t="shared" ref="ACM25" ca="1" si="7580">VLOOKUP(2,XQ11:XR14,2,FALSE)</f>
        <v>Croatia</v>
      </c>
      <c r="ACN25" s="325">
        <f t="shared" ca="1" si="5181"/>
        <v>0</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1</v>
      </c>
      <c r="ACS25" s="319">
        <f t="shared" ref="ACS25" ca="1" si="7585">SUMPRODUCT((AGN3:AGN42=ACP25)*(AGR3:AGR42="L"))+SUMPRODUCT((AGQ3:AGQ42=ACP25)*(AGS3:AGS42="L"))</f>
        <v>2</v>
      </c>
      <c r="ACT25" s="319">
        <f t="shared" ref="ACT25" ca="1" si="7586">SUMIF(AGN3:AGN60,ACP25,AGO3:AGO60)+SUMIF(AGQ3:AGQ60,ACP25,AGP3:AGP60)</f>
        <v>3</v>
      </c>
      <c r="ACU25" s="319">
        <f t="shared" ref="ACU25" ca="1" si="7587">SUMIF(AGQ3:AGQ60,ACP25,AGO3:AGO60)+SUMIF(AGN3:AGN60,ACP25,AGP3:AGP60)</f>
        <v>5</v>
      </c>
      <c r="ACV25" s="319">
        <f t="shared" ref="ACV25:ACV28" ca="1" si="7588">ACT25-ACU25+1000</f>
        <v>998</v>
      </c>
      <c r="ACW25" s="319">
        <f t="shared" ref="ACW25:ACW28" ca="1" si="7589">ACQ25*3+ACR25*1</f>
        <v>1</v>
      </c>
      <c r="ACX25" s="319">
        <f t="shared" si="810"/>
        <v>0</v>
      </c>
      <c r="ACY25" s="319">
        <f t="shared" ref="ACY25" ca="1" si="7590">IF(COUNTIF(ACW25:ACW29,4)&lt;&gt;4,RANK(ACW25,ACW25:ACW29),ACW65)</f>
        <v>4</v>
      </c>
      <c r="ACZ25" s="319"/>
      <c r="ADA25" s="319">
        <f t="shared" ref="ADA25" ca="1" si="7591">SUMPRODUCT((ACY25:ACY28=ACY25)*(ACX25:ACX28&lt;ACX25))+ACY25</f>
        <v>4</v>
      </c>
      <c r="ADB25" s="319" t="str">
        <f t="shared" ref="ADB25" ca="1" si="7592">INDEX(ACP25:ACP29,MATCH(1,ADA25:ADA29,0),0)</f>
        <v>Netherlands</v>
      </c>
      <c r="ADC25" s="319">
        <f t="shared" ref="ADC25" ca="1" si="7593">INDEX(ACY25:ACY29,MATCH(ADB25,ACP25:ACP29,0),0)</f>
        <v>1</v>
      </c>
      <c r="ADD25" s="319" t="str">
        <f t="shared" ref="ADD25" ca="1" si="7594">IF(ADC26=1,ADB25,"")</f>
        <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t="str">
        <f t="shared" ref="ADP25:ADP28" ca="1" si="7605">IF(ADI25&lt;&gt;"",ADJ25*3+ADK25*1,"")</f>
        <v/>
      </c>
      <c r="ADQ25" s="319" t="str">
        <f t="shared" ref="ADQ25" ca="1" si="7606">IF(ADI25&lt;&gt;"",VLOOKUP(ADI25,ACP4:ACV40,7,FALSE),"")</f>
        <v/>
      </c>
      <c r="ADR25" s="319" t="str">
        <f t="shared" ref="ADR25" ca="1" si="7607">IF(ADI25&lt;&gt;"",VLOOKUP(ADI25,ACP4:ACV40,5,FALSE),"")</f>
        <v/>
      </c>
      <c r="ADS25" s="319" t="str">
        <f t="shared" ref="ADS25" ca="1" si="7608">IF(ADI25&lt;&gt;"",VLOOKUP(ADI25,ACP4:ACX40,9,FALSE),"")</f>
        <v/>
      </c>
      <c r="ADT25" s="319" t="str">
        <f t="shared" ref="ADT25:ADT28" ca="1" si="7609">ADP25</f>
        <v/>
      </c>
      <c r="ADU25" s="319" t="str">
        <f t="shared" ref="ADU25" ca="1" si="7610">IF(ADI25&lt;&gt;"",RANK(ADT25,ADT25:ADT29),"")</f>
        <v/>
      </c>
      <c r="ADV25" s="319" t="str">
        <f t="shared" ref="ADV25" ca="1" si="7611">IF(ADI25&lt;&gt;"",SUMPRODUCT((ADT25:ADT29=ADT25)*(ADO25:ADO29&gt;ADO25)),"")</f>
        <v/>
      </c>
      <c r="ADW25" s="319" t="str">
        <f t="shared" ref="ADW25" ca="1" si="7612">IF(ADI25&lt;&gt;"",SUMPRODUCT((ADT25:ADT29=ADT25)*(ADO25:ADO29=ADO25)*(ADM25:ADM29&gt;ADM25)),"")</f>
        <v/>
      </c>
      <c r="ADX25" s="319" t="str">
        <f t="shared" ref="ADX25" ca="1" si="7613">IF(ADI25&lt;&gt;"",SUMPRODUCT((ADT25:ADT29=ADT25)*(ADO25:ADO29=ADO25)*(ADM25:ADM29=ADM25)*(ADQ25:ADQ29&gt;ADQ25)),"")</f>
        <v/>
      </c>
      <c r="ADY25" s="319" t="str">
        <f t="shared" ref="ADY25" ca="1" si="7614">IF(ADI25&lt;&gt;"",SUMPRODUCT((ADT25:ADT29=ADT25)*(ADO25:ADO29=ADO25)*(ADM25:ADM29=ADM25)*(ADQ25:ADQ29=ADQ25)*(ADR25:ADR29&gt;ADR25)),"")</f>
        <v/>
      </c>
      <c r="ADZ25" s="319" t="str">
        <f t="shared" ref="ADZ25" ca="1" si="7615">IF(ADI25&lt;&gt;"",SUMPRODUCT((ADT25:ADT29=ADT25)*(ADO25:ADO29=ADO25)*(ADM25:ADM29=ADM25)*(ADQ25:ADQ29=ADQ25)*(ADR25:ADR29=ADR25)*(ADS25:ADS29&gt;ADS25)),"")</f>
        <v/>
      </c>
      <c r="AEA25" s="319" t="str">
        <f ca="1">IF(ADI25&lt;&gt;"",IF(AEA65&lt;&gt;"",IF(ADH64=3,AEA65,AEA65+ADH64),SUM(ADU25:ADZ25)),"")</f>
        <v/>
      </c>
      <c r="AEB25" s="319" t="str">
        <f t="shared" ref="AEB25" ca="1" si="7616">IF(ADI25&lt;&gt;"",INDEX(ADI25:ADI29,MATCH(1,AEA25:AEA29,0),0),"")</f>
        <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1</v>
      </c>
      <c r="AGP25" s="322">
        <f ca="1">IF(OFFSET('Player Game Board'!Q32,0,AGO1)&lt;&gt;"",OFFSET('Player Game Board'!Q32,0,AGO1),0)</f>
        <v>3</v>
      </c>
      <c r="AGQ25" s="319" t="str">
        <f t="shared" si="67"/>
        <v>Portugal</v>
      </c>
      <c r="AGR25" s="319" t="str">
        <f ca="1">IF(AND(OFFSET('Player Game Board'!P32,0,AGO1)&lt;&gt;"",OFFSET('Player Game Board'!Q32,0,AGO1)&lt;&gt;""),IF(AGO25&gt;AGP25,"W",IF(AGO25=AGP25,"D","L")),"")</f>
        <v>L</v>
      </c>
      <c r="AGS25" s="319" t="str">
        <f t="shared" ca="1" si="5665"/>
        <v>W</v>
      </c>
      <c r="AGT25" s="319"/>
      <c r="AGU25" s="319"/>
      <c r="AGV25" s="324" t="s">
        <v>102</v>
      </c>
      <c r="AGW25" s="325" t="s">
        <v>103</v>
      </c>
      <c r="AGX25" s="325" t="s">
        <v>105</v>
      </c>
      <c r="AGY25" s="325" t="s">
        <v>106</v>
      </c>
      <c r="AGZ25" s="324" t="s">
        <v>106</v>
      </c>
      <c r="AHA25" s="324" t="s">
        <v>105</v>
      </c>
      <c r="AHB25" s="324" t="s">
        <v>103</v>
      </c>
      <c r="AHC25" s="324" t="s">
        <v>102</v>
      </c>
      <c r="AHD25" s="325"/>
      <c r="AHE25" s="326">
        <f t="shared" ref="AHE25" ca="1" si="7618">IFERROR(MATCH(AHE12,AGV25:AGY25,0),0)</f>
        <v>4</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7</v>
      </c>
      <c r="AHJ25" s="325"/>
      <c r="AHK25" s="325" t="str">
        <f t="shared" ref="AHK25" ca="1" si="7622">VLOOKUP(2,ACO11:ACP14,2,FALSE)</f>
        <v>Italy</v>
      </c>
      <c r="AHL25" s="325">
        <f t="shared" ca="1" si="5224"/>
        <v>1</v>
      </c>
      <c r="AHM25" s="319">
        <f t="shared" ref="AHM25" ca="1" si="7623">VLOOKUP(AHN25,ALI25:ALJ29,2,FALSE)</f>
        <v>3</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1</v>
      </c>
      <c r="AHQ25" s="319">
        <f t="shared" ref="AHQ25" ca="1" si="7627">SUMPRODUCT((ALL3:ALL42=AHN25)*(ALP3:ALP42="L"))+SUMPRODUCT((ALO3:ALO42=AHN25)*(ALQ3:ALQ42="L"))</f>
        <v>2</v>
      </c>
      <c r="AHR25" s="319">
        <f t="shared" ref="AHR25" ca="1" si="7628">SUMIF(ALL3:ALL60,AHN25,ALM3:ALM60)+SUMIF(ALO3:ALO60,AHN25,ALN3:ALN60)</f>
        <v>3</v>
      </c>
      <c r="AHS25" s="319">
        <f t="shared" ref="AHS25" ca="1" si="7629">SUMIF(ALO3:ALO60,AHN25,ALM3:ALM60)+SUMIF(ALL3:ALL60,AHN25,ALN3:ALN60)</f>
        <v>6</v>
      </c>
      <c r="AHT25" s="319">
        <f t="shared" ref="AHT25:AHT28" ca="1" si="7630">AHR25-AHS25+1000</f>
        <v>997</v>
      </c>
      <c r="AHU25" s="319">
        <f t="shared" ref="AHU25:AHU28" ca="1" si="7631">AHO25*3+AHP25*1</f>
        <v>1</v>
      </c>
      <c r="AHV25" s="319">
        <f t="shared" si="870"/>
        <v>0</v>
      </c>
      <c r="AHW25" s="319">
        <f t="shared" ref="AHW25" ca="1" si="7632">IF(COUNTIF(AHU25:AHU29,4)&lt;&gt;4,RANK(AHU25,AHU25:AHU29),AHU65)</f>
        <v>3</v>
      </c>
      <c r="AHX25" s="319"/>
      <c r="AHY25" s="319">
        <f t="shared" ref="AHY25" ca="1" si="7633">SUMPRODUCT((AHW25:AHW28=AHW25)*(AHV25:AHV28&lt;AHV25))+AHW25</f>
        <v>3</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Poland</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1</v>
      </c>
      <c r="AIO25" s="319">
        <f t="shared" ref="AIO25" ca="1" si="7648">IF(AIG25&lt;&gt;"",VLOOKUP(AIG25,AHN4:AHT40,7,FALSE),"")</f>
        <v>1003</v>
      </c>
      <c r="AIP25" s="319">
        <f t="shared" ref="AIP25" ca="1" si="7649">IF(AIG25&lt;&gt;"",VLOOKUP(AIG25,AHN4:AHT40,5,FALSE),"")</f>
        <v>6</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2</v>
      </c>
      <c r="ALN25" s="322">
        <f ca="1">IF(OFFSET('Player Game Board'!Q32,0,ALM1)&lt;&gt;"",OFFSET('Player Game Board'!Q32,0,ALM1),0)</f>
        <v>2</v>
      </c>
      <c r="ALO25" s="319" t="str">
        <f t="shared" si="83"/>
        <v>Portugal</v>
      </c>
      <c r="ALP25" s="319" t="str">
        <f ca="1">IF(AND(OFFSET('Player Game Board'!P32,0,ALM1)&lt;&gt;"",OFFSET('Player Game Board'!Q32,0,ALM1)&lt;&gt;""),IF(ALM25&gt;ALN25,"W",IF(ALM25=ALN25,"D","L")),"")</f>
        <v>D</v>
      </c>
      <c r="ALQ25" s="319" t="str">
        <f t="shared" ca="1" si="5720"/>
        <v>D</v>
      </c>
      <c r="ALR25" s="319"/>
      <c r="ALS25" s="319"/>
      <c r="ALT25" s="324" t="s">
        <v>102</v>
      </c>
      <c r="ALU25" s="325" t="s">
        <v>103</v>
      </c>
      <c r="ALV25" s="325" t="s">
        <v>105</v>
      </c>
      <c r="ALW25" s="325" t="s">
        <v>106</v>
      </c>
      <c r="ALX25" s="324" t="s">
        <v>106</v>
      </c>
      <c r="ALY25" s="324" t="s">
        <v>105</v>
      </c>
      <c r="ALZ25" s="324" t="s">
        <v>103</v>
      </c>
      <c r="AMA25" s="324" t="s">
        <v>102</v>
      </c>
      <c r="AMB25" s="325"/>
      <c r="AMC25" s="326">
        <f t="shared" ref="AMC25" ca="1" si="7660">IFERROR(MATCH(AMC12,ALT25:ALW25,0),0)</f>
        <v>1</v>
      </c>
      <c r="AMD25" s="326">
        <f t="shared" ref="AMD25" ca="1" si="7661">IFERROR(MATCH(AMD12,ALT25:ALW25,0),0)</f>
        <v>2</v>
      </c>
      <c r="AME25" s="326">
        <f t="shared" ref="AME25" ca="1" si="7662">IFERROR(MATCH(AME12,ALT25:ALW25,0),0)</f>
        <v>4</v>
      </c>
      <c r="AMF25" s="326">
        <f t="shared" ref="AMF25" ca="1" si="7663">IFERROR(MATCH(AMF12,ALT25:ALW25,0),0)</f>
        <v>3</v>
      </c>
      <c r="AMG25" s="326">
        <f t="shared" ca="1" si="3896"/>
        <v>10</v>
      </c>
      <c r="AMH25" s="325"/>
      <c r="AMI25" s="325" t="str">
        <f t="shared" ref="AMI25" ca="1" si="7664">VLOOKUP(2,AHM11:AHN14,2,FALSE)</f>
        <v>Croatia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102</v>
      </c>
      <c r="AQS25" s="325" t="s">
        <v>103</v>
      </c>
      <c r="AQT25" s="325" t="s">
        <v>105</v>
      </c>
      <c r="AQU25" s="325" t="s">
        <v>106</v>
      </c>
      <c r="AQV25" s="324" t="s">
        <v>106</v>
      </c>
      <c r="AQW25" s="324" t="s">
        <v>105</v>
      </c>
      <c r="AQX25" s="324" t="s">
        <v>103</v>
      </c>
      <c r="AQY25" s="324" t="s">
        <v>102</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1</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102</v>
      </c>
      <c r="AVQ25" s="325" t="s">
        <v>103</v>
      </c>
      <c r="AVR25" s="325" t="s">
        <v>105</v>
      </c>
      <c r="AVS25" s="325" t="s">
        <v>106</v>
      </c>
      <c r="AVT25" s="324" t="s">
        <v>106</v>
      </c>
      <c r="AVU25" s="324" t="s">
        <v>105</v>
      </c>
      <c r="AVV25" s="324" t="s">
        <v>103</v>
      </c>
      <c r="AVW25" s="324" t="s">
        <v>102</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1</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102</v>
      </c>
      <c r="BAO25" s="325" t="s">
        <v>103</v>
      </c>
      <c r="BAP25" s="325" t="s">
        <v>105</v>
      </c>
      <c r="BAQ25" s="325" t="s">
        <v>106</v>
      </c>
      <c r="BAR25" s="324" t="s">
        <v>106</v>
      </c>
      <c r="BAS25" s="324" t="s">
        <v>105</v>
      </c>
      <c r="BAT25" s="324" t="s">
        <v>103</v>
      </c>
      <c r="BAU25" s="324" t="s">
        <v>102</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102</v>
      </c>
      <c r="BFM25" s="325" t="s">
        <v>103</v>
      </c>
      <c r="BFN25" s="325" t="s">
        <v>105</v>
      </c>
      <c r="BFO25" s="325" t="s">
        <v>106</v>
      </c>
      <c r="BFP25" s="324" t="s">
        <v>106</v>
      </c>
      <c r="BFQ25" s="324" t="s">
        <v>105</v>
      </c>
      <c r="BFR25" s="324" t="s">
        <v>103</v>
      </c>
      <c r="BFS25" s="324" t="s">
        <v>102</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2</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2</v>
      </c>
      <c r="N26" s="319" t="str">
        <f>INDEX(B25:B29,MATCH(2,M25:M29,0),0)</f>
        <v>Netherlands</v>
      </c>
      <c r="O26" s="319">
        <f>INDEX(K25:K29,MATCH(N26,B25:B29,0),0)</f>
        <v>1</v>
      </c>
      <c r="P26" s="319" t="str">
        <f>IF(P25&lt;&gt;"",N26,"")</f>
        <v>Netherlands</v>
      </c>
      <c r="Q26" s="319" t="str">
        <f>IF(Q25&lt;&gt;"",N27,"")</f>
        <v/>
      </c>
      <c r="R26" s="319" t="str">
        <f>IF(R25&lt;&gt;"",N28,"")</f>
        <v/>
      </c>
      <c r="S26" s="319" t="str">
        <f>IF(S25&lt;&gt;"",N29,"")</f>
        <v/>
      </c>
      <c r="T26" s="319"/>
      <c r="U26" s="319" t="str">
        <f t="shared" ref="U26:U28" si="7833">IF(P26&lt;&gt;"",P26,"")</f>
        <v>Netherlands</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0</v>
      </c>
      <c r="AC26" s="319">
        <f>IF(U26&lt;&gt;"",VLOOKUP(U26,B4:H40,7,FALSE),"")</f>
        <v>1001</v>
      </c>
      <c r="AD26" s="319">
        <f>IF(U26&lt;&gt;"",VLOOKUP(U26,B4:H40,5,FALSE),"")</f>
        <v>2</v>
      </c>
      <c r="AE26" s="319">
        <f>IF(U26&lt;&gt;"",VLOOKUP(U26,B4:J40,9,FALSE),"")</f>
        <v>42</v>
      </c>
      <c r="AF26" s="319">
        <f t="shared" si="7446"/>
        <v>0</v>
      </c>
      <c r="AG26" s="319">
        <f>IF(U26&lt;&gt;"",RANK(AF26,AF25:AF29),"")</f>
        <v>2</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0</v>
      </c>
      <c r="AL26" s="319">
        <f>IF(U26&lt;&gt;"",SUMPRODUCT((AF25:AF29=AF26)*(AA25:AA29=AA26)*(Y25:Y29=Y26)*(AC25:AC29=AC26)*(AD25:AD29=AD26)*(AE25:AE29&gt;AE26)),"")</f>
        <v>0</v>
      </c>
      <c r="AM26" s="319">
        <f>IF(U26&lt;&gt;"",IF(AM66&lt;&gt;"",IF(T64=3,AM66,AM66+T64),SUM(AG26:AL26)),"")</f>
        <v>2</v>
      </c>
      <c r="AN26" s="319" t="str">
        <f>IF(U26&lt;&gt;"",INDEX(U25:U29,MATCH(2,AM25:AM29,0),0),"")</f>
        <v>Netherlands</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Netherlands</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102</v>
      </c>
      <c r="DI26" s="325" t="s">
        <v>104</v>
      </c>
      <c r="DJ26" s="325" t="s">
        <v>105</v>
      </c>
      <c r="DK26" s="325" t="s">
        <v>106</v>
      </c>
      <c r="DL26" s="324" t="s">
        <v>106</v>
      </c>
      <c r="DM26" s="324" t="s">
        <v>105</v>
      </c>
      <c r="DN26" s="324" t="s">
        <v>104</v>
      </c>
      <c r="DO26" s="324" t="s">
        <v>102</v>
      </c>
      <c r="DP26" s="325"/>
      <c r="DQ26" s="326">
        <f>IFERROR(MATCH(DQ12,DH26:DK26,0),0)</f>
        <v>2</v>
      </c>
      <c r="DR26" s="326">
        <f>IFERROR(MATCH(DR12,DH26:DK26,0),0)</f>
        <v>3</v>
      </c>
      <c r="DS26" s="326">
        <f>IFERROR(MATCH(DS12,DH26:DK26,0),0)</f>
        <v>0</v>
      </c>
      <c r="DT26" s="326">
        <f>IFERROR(MATCH(DT12,DH26:DK26,0),0)</f>
        <v>1</v>
      </c>
      <c r="DU26" s="326">
        <f t="shared" si="3541"/>
        <v>6</v>
      </c>
      <c r="DV26" s="325" t="s">
        <v>103</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6</v>
      </c>
      <c r="EE26" s="319">
        <f ca="1">SUMIF(IA3:IA60,DZ26,HY3:HY60)+SUMIF(HX3:HX60,DZ26,HZ3:HZ60)</f>
        <v>3</v>
      </c>
      <c r="EF26" s="319">
        <f t="shared" ca="1" si="7447"/>
        <v>1003</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1</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102</v>
      </c>
      <c r="IG26" s="325" t="s">
        <v>104</v>
      </c>
      <c r="IH26" s="325" t="s">
        <v>105</v>
      </c>
      <c r="II26" s="325" t="s">
        <v>106</v>
      </c>
      <c r="IJ26" s="324" t="s">
        <v>106</v>
      </c>
      <c r="IK26" s="324" t="s">
        <v>105</v>
      </c>
      <c r="IL26" s="324" t="s">
        <v>104</v>
      </c>
      <c r="IM26" s="324" t="s">
        <v>102</v>
      </c>
      <c r="IN26" s="325"/>
      <c r="IO26" s="326">
        <f ca="1">IFERROR(MATCH(IO12,IF26:II26,0),0)</f>
        <v>0</v>
      </c>
      <c r="IP26" s="326">
        <f ca="1">IFERROR(MATCH(IP12,IF26:II26,0),0)</f>
        <v>2</v>
      </c>
      <c r="IQ26" s="326">
        <f ca="1">IFERROR(MATCH(IQ12,IF26:II26,0),0)</f>
        <v>4</v>
      </c>
      <c r="IR26" s="326">
        <f ca="1">IFERROR(MATCH(IR12,IF26:II26,0),0)</f>
        <v>1</v>
      </c>
      <c r="IS26" s="326">
        <f t="shared" ca="1" si="3544"/>
        <v>7</v>
      </c>
      <c r="IT26" s="325" t="s">
        <v>103</v>
      </c>
      <c r="IU26" s="325" t="str">
        <f ca="1">VLOOKUP(1,DY18:DZ21,2,FALSE)</f>
        <v>Denmark</v>
      </c>
      <c r="IV26" s="325">
        <f t="shared" ca="1" si="5047"/>
        <v>1</v>
      </c>
      <c r="IW26" s="319">
        <f ca="1">VLOOKUP(IX26,MS25:MT29,2,FALSE)</f>
        <v>3</v>
      </c>
      <c r="IX26" s="319" t="str">
        <f t="shared" ref="IX26:IX28" si="7840">DZ26</f>
        <v>Netherlands</v>
      </c>
      <c r="IY26" s="319">
        <f ca="1">SUMPRODUCT((MV3:MV42=IX26)*(MZ3:MZ42="W"))+SUMPRODUCT((MY3:MY42=IX26)*(NA3:NA42="W"))</f>
        <v>0</v>
      </c>
      <c r="IZ26" s="319">
        <f ca="1">SUMPRODUCT((MV3:MV42=IX26)*(MZ3:MZ42="D"))+SUMPRODUCT((MY3:MY42=IX26)*(NA3:NA42="D"))</f>
        <v>2</v>
      </c>
      <c r="JA26" s="319">
        <f ca="1">SUMPRODUCT((MV3:MV42=IX26)*(MZ3:MZ42="L"))+SUMPRODUCT((MY3:MY42=IX26)*(NA3:NA42="L"))</f>
        <v>1</v>
      </c>
      <c r="JB26" s="319">
        <f ca="1">SUMIF(MV3:MV60,IX26,MW3:MW60)+SUMIF(MY3:MY60,IX26,MX3:MX60)</f>
        <v>3</v>
      </c>
      <c r="JC26" s="319">
        <f ca="1">SUMIF(MY3:MY60,IX26,MW3:MW60)+SUMIF(MV3:MV60,IX26,MX3:MX60)</f>
        <v>4</v>
      </c>
      <c r="JD26" s="319">
        <f t="shared" ca="1" si="7451"/>
        <v>999</v>
      </c>
      <c r="JE26" s="319">
        <f t="shared" ca="1" si="7452"/>
        <v>2</v>
      </c>
      <c r="JF26" s="319">
        <f t="shared" si="618"/>
        <v>42</v>
      </c>
      <c r="JG26" s="319">
        <f ca="1">IF(COUNTIF(JE25:JE29,4)&lt;&gt;4,RANK(JE26,JE25:JE29),JE66)</f>
        <v>3</v>
      </c>
      <c r="JH26" s="319"/>
      <c r="JI26" s="319">
        <f ca="1">SUMPRODUCT((JG25:JG28=JG26)*(JF25:JF28&lt;JF26))+JG26</f>
        <v>3</v>
      </c>
      <c r="JJ26" s="319" t="str">
        <f ca="1">INDEX(IX25:IX29,MATCH(2,JI25:JI29,0),0)</f>
        <v>Poland</v>
      </c>
      <c r="JK26" s="319">
        <f ca="1">INDEX(JG25:JG29,MATCH(JJ26,IX25:IX29,0),0)</f>
        <v>2</v>
      </c>
      <c r="JL26" s="319" t="str">
        <f ca="1">IF(JL25&lt;&gt;"",JJ26,"")</f>
        <v/>
      </c>
      <c r="JM26" s="319" t="str">
        <f ca="1">IF(JM25&lt;&gt;"",JJ27,"")</f>
        <v/>
      </c>
      <c r="JN26" s="319" t="str">
        <f ca="1">IF(JN25&lt;&gt;"",JJ28,"")</f>
        <v/>
      </c>
      <c r="JO26" s="319" t="str">
        <f>IF(JO25&lt;&gt;"",JJ29,"")</f>
        <v/>
      </c>
      <c r="JP26" s="319"/>
      <c r="JQ26" s="319" t="str">
        <f t="shared" ref="JQ26:JQ28" ca="1" si="7841">IF(JL26&lt;&gt;"",JL26,"")</f>
        <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19">
        <f ca="1">JU26-JV26+1000</f>
        <v>1000</v>
      </c>
      <c r="JX26" s="319" t="str">
        <f t="shared" ca="1" si="7453"/>
        <v/>
      </c>
      <c r="JY26" s="319" t="str">
        <f ca="1">IF(JQ26&lt;&gt;"",VLOOKUP(JQ26,IX4:JD40,7,FALSE),"")</f>
        <v/>
      </c>
      <c r="JZ26" s="319" t="str">
        <f ca="1">IF(JQ26&lt;&gt;"",VLOOKUP(JQ26,IX4:JD40,5,FALSE),"")</f>
        <v/>
      </c>
      <c r="KA26" s="319" t="str">
        <f ca="1">IF(JQ26&lt;&gt;"",VLOOKUP(JQ26,IX4:JF40,9,FALSE),"")</f>
        <v/>
      </c>
      <c r="KB26" s="319" t="str">
        <f t="shared" ca="1" si="7454"/>
        <v/>
      </c>
      <c r="KC26" s="319" t="str">
        <f ca="1">IF(JQ26&lt;&gt;"",RANK(KB26,KB25:KB29),"")</f>
        <v/>
      </c>
      <c r="KD26" s="319" t="str">
        <f ca="1">IF(JQ26&lt;&gt;"",SUMPRODUCT((KB25:KB29=KB26)*(JW25:JW29&gt;JW26)),"")</f>
        <v/>
      </c>
      <c r="KE26" s="319" t="str">
        <f ca="1">IF(JQ26&lt;&gt;"",SUMPRODUCT((KB25:KB29=KB26)*(JW25:JW29=JW26)*(JU25:JU29&gt;JU26)),"")</f>
        <v/>
      </c>
      <c r="KF26" s="319" t="str">
        <f ca="1">IF(JQ26&lt;&gt;"",SUMPRODUCT((KB25:KB29=KB26)*(JW25:JW29=JW26)*(JU25:JU29=JU26)*(JY25:JY29&gt;JY26)),"")</f>
        <v/>
      </c>
      <c r="KG26" s="319" t="str">
        <f ca="1">IF(JQ26&lt;&gt;"",SUMPRODUCT((KB25:KB29=KB26)*(JW25:JW29=JW26)*(JU25:JU29=JU26)*(JY25:JY29=JY26)*(JZ25:JZ29&gt;JZ26)),"")</f>
        <v/>
      </c>
      <c r="KH26" s="319" t="str">
        <f ca="1">IF(JQ26&lt;&gt;"",SUMPRODUCT((KB25:KB29=KB26)*(JW25:JW29=JW26)*(JU25:JU29=JU26)*(JY25:JY29=JY26)*(JZ25:JZ29=JZ26)*(KA25:KA29&gt;KA26)),"")</f>
        <v/>
      </c>
      <c r="KI26" s="319" t="str">
        <f ca="1">IF(JQ26&lt;&gt;"",IF(KI66&lt;&gt;"",IF(JP64=3,KI66,KI66+JP64),SUM(KC26:KH26)),"")</f>
        <v/>
      </c>
      <c r="KJ26" s="319" t="str">
        <f ca="1">IF(JQ26&lt;&gt;"",INDEX(JQ25:JQ29,MATCH(2,KI25:KI29,0),0),"")</f>
        <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Poland</v>
      </c>
      <c r="MT26" s="319">
        <v>2</v>
      </c>
      <c r="MU26" s="319">
        <v>24</v>
      </c>
      <c r="MV26" s="319" t="str">
        <f t="shared" si="170"/>
        <v>Georgia</v>
      </c>
      <c r="MW26" s="322">
        <f ca="1">IF(OFFSET('Player Game Board'!P33,0,MW1)&lt;&gt;"",OFFSET('Player Game Board'!P33,0,MW1),0)</f>
        <v>0</v>
      </c>
      <c r="MX26" s="322">
        <f ca="1">IF(OFFSET('Player Game Board'!Q33,0,MW1)&lt;&gt;"",OFFSET('Player Game Board'!Q33,0,MW1),0)</f>
        <v>2</v>
      </c>
      <c r="MY26" s="319" t="str">
        <f t="shared" si="171"/>
        <v>Czechia</v>
      </c>
      <c r="MZ26" s="319" t="str">
        <f ca="1">IF(AND(OFFSET('Player Game Board'!P33,0,MW1)&lt;&gt;"",OFFSET('Player Game Board'!Q33,0,MW1)&lt;&gt;""),IF(MW26&gt;MX26,"W",IF(MW26=MX26,"D","L")),"")</f>
        <v>L</v>
      </c>
      <c r="NA26" s="319" t="str">
        <f t="shared" ca="1" si="172"/>
        <v>W</v>
      </c>
      <c r="NB26" s="319"/>
      <c r="NC26" s="319"/>
      <c r="ND26" s="324" t="s">
        <v>102</v>
      </c>
      <c r="NE26" s="325" t="s">
        <v>104</v>
      </c>
      <c r="NF26" s="325" t="s">
        <v>105</v>
      </c>
      <c r="NG26" s="325" t="s">
        <v>106</v>
      </c>
      <c r="NH26" s="324" t="s">
        <v>106</v>
      </c>
      <c r="NI26" s="324" t="s">
        <v>105</v>
      </c>
      <c r="NJ26" s="324" t="s">
        <v>104</v>
      </c>
      <c r="NK26" s="324" t="s">
        <v>102</v>
      </c>
      <c r="NL26" s="325"/>
      <c r="NM26" s="326">
        <f ca="1">IFERROR(MATCH(NM12,ND26:NG26,0),0)</f>
        <v>1</v>
      </c>
      <c r="NN26" s="326">
        <f ca="1">IFERROR(MATCH(NN12,ND26:NG26,0),0)</f>
        <v>0</v>
      </c>
      <c r="NO26" s="326">
        <f ca="1">IFERROR(MATCH(NO12,ND26:NG26,0),0)</f>
        <v>4</v>
      </c>
      <c r="NP26" s="326">
        <f ca="1">IFERROR(MATCH(NP12,ND26:NG26,0),0)</f>
        <v>3</v>
      </c>
      <c r="NQ26" s="326">
        <f t="shared" ca="1" si="3547"/>
        <v>8</v>
      </c>
      <c r="NR26" s="325" t="s">
        <v>103</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1</v>
      </c>
      <c r="NX26" s="319">
        <f t="shared" ref="NX26" ca="1" si="7846">SUMPRODUCT((RT3:RT42=NV26)*(RX3:RX42="D"))+SUMPRODUCT((RW3:RW42=NV26)*(RY3:RY42="D"))</f>
        <v>1</v>
      </c>
      <c r="NY26" s="319">
        <f t="shared" ref="NY26" ca="1" si="7847">SUMPRODUCT((RT3:RT42=NV26)*(RX3:RX42="L"))+SUMPRODUCT((RW3:RW42=NV26)*(RY3:RY42="L"))</f>
        <v>1</v>
      </c>
      <c r="NZ26" s="319">
        <f t="shared" ref="NZ26" ca="1" si="7848">SUMIF(RT3:RT60,NV26,RU3:RU60)+SUMIF(RW3:RW60,NV26,RV3:RV60)</f>
        <v>4</v>
      </c>
      <c r="OA26" s="319">
        <f t="shared" ref="OA26" ca="1" si="7849">SUMIF(RW3:RW60,NV26,RU3:RU60)+SUMIF(RT3:RT60,NV26,RV3:RV60)</f>
        <v>4</v>
      </c>
      <c r="OB26" s="319">
        <f t="shared" ca="1" si="7462"/>
        <v>1000</v>
      </c>
      <c r="OC26" s="319">
        <f t="shared" ca="1" si="7463"/>
        <v>4</v>
      </c>
      <c r="OD26" s="319">
        <f t="shared" si="630"/>
        <v>42</v>
      </c>
      <c r="OE26" s="319">
        <f t="shared" ref="OE26" ca="1" si="7850">IF(COUNTIF(OC25:OC29,4)&lt;&gt;4,RANK(OC26,OC25:OC29),OC66)</f>
        <v>2</v>
      </c>
      <c r="OF26" s="319"/>
      <c r="OG26" s="319">
        <f t="shared" ref="OG26" ca="1" si="7851">SUMPRODUCT((OE25:OE28=OE26)*(OD25:OD28&lt;OD26))+OE26</f>
        <v>2</v>
      </c>
      <c r="OH26" s="319" t="str">
        <f t="shared" ref="OH26" ca="1" si="7852">INDEX(NV25:NV29,MATCH(2,OG25:OG29,0),0)</f>
        <v>Netherlands</v>
      </c>
      <c r="OI26" s="319">
        <f t="shared" ref="OI26" ca="1" si="7853">INDEX(OE25:OE29,MATCH(OH26,NV25:NV29,0),0)</f>
        <v>2</v>
      </c>
      <c r="OJ26" s="319" t="str">
        <f t="shared" ref="OJ26" ca="1" si="7854">IF(OJ25&lt;&gt;"",OH26,"")</f>
        <v/>
      </c>
      <c r="OK26" s="319" t="str">
        <f t="shared" ref="OK26" ca="1" si="7855">IF(OK25&lt;&gt;"",OH27,"")</f>
        <v/>
      </c>
      <c r="OL26" s="319" t="str">
        <f t="shared" ref="OL26" ca="1" si="7856">IF(OL25&lt;&gt;"",OH28,"")</f>
        <v/>
      </c>
      <c r="OM26" s="319" t="str">
        <f t="shared" ref="OM26" si="7857">IF(OM25&lt;&gt;"",OH29,"")</f>
        <v/>
      </c>
      <c r="ON26" s="319"/>
      <c r="OO26" s="319" t="str">
        <f t="shared" ca="1" si="7472"/>
        <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t="str">
        <f t="shared" ca="1" si="7479"/>
        <v/>
      </c>
      <c r="OW26" s="319" t="str">
        <f t="shared" ref="OW26" ca="1" si="7863">IF(OO26&lt;&gt;"",VLOOKUP(OO26,NV4:OB40,7,FALSE),"")</f>
        <v/>
      </c>
      <c r="OX26" s="319" t="str">
        <f t="shared" ref="OX26" ca="1" si="7864">IF(OO26&lt;&gt;"",VLOOKUP(OO26,NV4:OB40,5,FALSE),"")</f>
        <v/>
      </c>
      <c r="OY26" s="319" t="str">
        <f t="shared" ref="OY26" ca="1" si="7865">IF(OO26&lt;&gt;"",VLOOKUP(OO26,NV4:OD40,9,FALSE),"")</f>
        <v/>
      </c>
      <c r="OZ26" s="319" t="str">
        <f t="shared" ca="1" si="7483"/>
        <v/>
      </c>
      <c r="PA26" s="319" t="str">
        <f t="shared" ref="PA26" ca="1" si="7866">IF(OO26&lt;&gt;"",RANK(OZ26,OZ25:OZ29),"")</f>
        <v/>
      </c>
      <c r="PB26" s="319" t="str">
        <f t="shared" ref="PB26" ca="1" si="7867">IF(OO26&lt;&gt;"",SUMPRODUCT((OZ25:OZ29=OZ26)*(OU25:OU29&gt;OU26)),"")</f>
        <v/>
      </c>
      <c r="PC26" s="319" t="str">
        <f t="shared" ref="PC26" ca="1" si="7868">IF(OO26&lt;&gt;"",SUMPRODUCT((OZ25:OZ29=OZ26)*(OU25:OU29=OU26)*(OS25:OS29&gt;OS26)),"")</f>
        <v/>
      </c>
      <c r="PD26" s="319" t="str">
        <f t="shared" ref="PD26" ca="1" si="7869">IF(OO26&lt;&gt;"",SUMPRODUCT((OZ25:OZ29=OZ26)*(OU25:OU29=OU26)*(OS25:OS29=OS26)*(OW25:OW29&gt;OW26)),"")</f>
        <v/>
      </c>
      <c r="PE26" s="319" t="str">
        <f t="shared" ref="PE26" ca="1" si="7870">IF(OO26&lt;&gt;"",SUMPRODUCT((OZ25:OZ29=OZ26)*(OU25:OU29=OU26)*(OS25:OS29=OS26)*(OW25:OW29=OW26)*(OX25:OX29&gt;OX26)),"")</f>
        <v/>
      </c>
      <c r="PF26" s="319" t="str">
        <f t="shared" ref="PF26" ca="1" si="7871">IF(OO26&lt;&gt;"",SUMPRODUCT((OZ25:OZ29=OZ26)*(OU25:OU29=OU26)*(OS25:OS29=OS26)*(OW25:OW29=OW26)*(OX25:OX29=OX26)*(OY25:OY29&gt;OY26)),"")</f>
        <v/>
      </c>
      <c r="PG26" s="319" t="str">
        <f ca="1">IF(OO26&lt;&gt;"",IF(PG66&lt;&gt;"",IF(ON64=3,PG66,PG66+ON64),SUM(PA26:PF26)),"")</f>
        <v/>
      </c>
      <c r="PH26" s="319" t="str">
        <f t="shared" ref="PH26" ca="1" si="7872">IF(OO26&lt;&gt;"",INDEX(OO25:OO29,MATCH(2,PG25:PG29,0),0),"")</f>
        <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1</v>
      </c>
      <c r="RW26" s="319" t="str">
        <f t="shared" si="19"/>
        <v>Czechia</v>
      </c>
      <c r="RX26" s="319" t="str">
        <f ca="1">IF(AND(OFFSET('Player Game Board'!P33,0,RU1)&lt;&gt;"",OFFSET('Player Game Board'!Q33,0,RU1)&lt;&gt;""),IF(RU26&gt;RV26,"W",IF(RU26=RV26,"D","L")),"")</f>
        <v>L</v>
      </c>
      <c r="RY26" s="319" t="str">
        <f t="shared" ca="1" si="5500"/>
        <v>W</v>
      </c>
      <c r="RZ26" s="319"/>
      <c r="SA26" s="319"/>
      <c r="SB26" s="324" t="s">
        <v>102</v>
      </c>
      <c r="SC26" s="325" t="s">
        <v>104</v>
      </c>
      <c r="SD26" s="325" t="s">
        <v>105</v>
      </c>
      <c r="SE26" s="325" t="s">
        <v>106</v>
      </c>
      <c r="SF26" s="324" t="s">
        <v>106</v>
      </c>
      <c r="SG26" s="324" t="s">
        <v>105</v>
      </c>
      <c r="SH26" s="324" t="s">
        <v>104</v>
      </c>
      <c r="SI26" s="324" t="s">
        <v>102</v>
      </c>
      <c r="SJ26" s="325"/>
      <c r="SK26" s="326">
        <f t="shared" ref="SK26" ca="1" si="7893">IFERROR(MATCH(SK12,SB26:SE26,0),0)</f>
        <v>0</v>
      </c>
      <c r="SL26" s="326">
        <f t="shared" ref="SL26" ca="1" si="7894">IFERROR(MATCH(SL12,SB26:SE26,0),0)</f>
        <v>1</v>
      </c>
      <c r="SM26" s="326">
        <f t="shared" ref="SM26" ca="1" si="7895">IFERROR(MATCH(SM12,SB26:SE26,0),0)</f>
        <v>4</v>
      </c>
      <c r="SN26" s="326">
        <f t="shared" ref="SN26" ca="1" si="7896">IFERROR(MATCH(SN12,SB26:SE26,0),0)</f>
        <v>3</v>
      </c>
      <c r="SO26" s="326">
        <f t="shared" ca="1" si="3616"/>
        <v>8</v>
      </c>
      <c r="SP26" s="325" t="s">
        <v>103</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2</v>
      </c>
      <c r="SY26" s="319">
        <f t="shared" ref="SY26" ca="1" si="7903">SUMIF(WU3:WU60,ST26,WS3:WS60)+SUMIF(WR3:WR60,ST26,WT3:WT60)</f>
        <v>2</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1</v>
      </c>
      <c r="WU26" s="319" t="str">
        <f t="shared" si="35"/>
        <v>Czechia</v>
      </c>
      <c r="WV26" s="319" t="str">
        <f ca="1">IF(AND(OFFSET('Player Game Board'!P33,0,WS1)&lt;&gt;"",OFFSET('Player Game Board'!Q33,0,WS1)&lt;&gt;""),IF(WS26&gt;WT26,"W",IF(WS26=WT26,"D","L")),"")</f>
        <v>L</v>
      </c>
      <c r="WW26" s="319" t="str">
        <f t="shared" ca="1" si="5555"/>
        <v>W</v>
      </c>
      <c r="WX26" s="319"/>
      <c r="WY26" s="319"/>
      <c r="WZ26" s="324" t="s">
        <v>102</v>
      </c>
      <c r="XA26" s="325" t="s">
        <v>104</v>
      </c>
      <c r="XB26" s="325" t="s">
        <v>105</v>
      </c>
      <c r="XC26" s="325" t="s">
        <v>106</v>
      </c>
      <c r="XD26" s="324" t="s">
        <v>106</v>
      </c>
      <c r="XE26" s="324" t="s">
        <v>105</v>
      </c>
      <c r="XF26" s="324" t="s">
        <v>104</v>
      </c>
      <c r="XG26" s="324" t="s">
        <v>102</v>
      </c>
      <c r="XH26" s="325"/>
      <c r="XI26" s="326">
        <f t="shared" ref="XI26" ca="1" si="7947">IFERROR(MATCH(XI12,WZ26:XC26,0),0)</f>
        <v>4</v>
      </c>
      <c r="XJ26" s="326">
        <f t="shared" ref="XJ26" ca="1" si="7948">IFERROR(MATCH(XJ12,WZ26:XC26,0),0)</f>
        <v>3</v>
      </c>
      <c r="XK26" s="326">
        <f t="shared" ref="XK26" ca="1" si="7949">IFERROR(MATCH(XK12,WZ26:XC26,0),0)</f>
        <v>1</v>
      </c>
      <c r="XL26" s="326">
        <f t="shared" ref="XL26" ca="1" si="7950">IFERROR(MATCH(XL12,WZ26:XC26,0),0)</f>
        <v>0</v>
      </c>
      <c r="XM26" s="326">
        <f t="shared" ca="1" si="3686"/>
        <v>8</v>
      </c>
      <c r="XN26" s="325" t="s">
        <v>103</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4</v>
      </c>
      <c r="XW26" s="319">
        <f t="shared" ref="XW26" ca="1" si="7957">SUMIF(ABS3:ABS60,XR26,ABQ3:ABQ60)+SUMIF(ABP3:ABP60,XR26,ABR3:ABR60)</f>
        <v>4</v>
      </c>
      <c r="XX26" s="319">
        <f t="shared" ca="1" si="7546"/>
        <v>1000</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1</v>
      </c>
      <c r="ABR26" s="322">
        <f ca="1">IF(OFFSET('Player Game Board'!Q33,0,ABQ1)&lt;&gt;"",OFFSET('Player Game Board'!Q33,0,ABQ1),0)</f>
        <v>1</v>
      </c>
      <c r="ABS26" s="319" t="str">
        <f t="shared" si="51"/>
        <v>Czechia</v>
      </c>
      <c r="ABT26" s="319" t="str">
        <f ca="1">IF(AND(OFFSET('Player Game Board'!P33,0,ABQ1)&lt;&gt;"",OFFSET('Player Game Board'!Q33,0,ABQ1)&lt;&gt;""),IF(ABQ26&gt;ABR26,"W",IF(ABQ26=ABR26,"D","L")),"")</f>
        <v>D</v>
      </c>
      <c r="ABU26" s="319" t="str">
        <f t="shared" ca="1" si="5610"/>
        <v>D</v>
      </c>
      <c r="ABV26" s="319"/>
      <c r="ABW26" s="319"/>
      <c r="ABX26" s="324" t="s">
        <v>102</v>
      </c>
      <c r="ABY26" s="325" t="s">
        <v>104</v>
      </c>
      <c r="ABZ26" s="325" t="s">
        <v>105</v>
      </c>
      <c r="ACA26" s="325" t="s">
        <v>106</v>
      </c>
      <c r="ACB26" s="324" t="s">
        <v>106</v>
      </c>
      <c r="ACC26" s="324" t="s">
        <v>105</v>
      </c>
      <c r="ACD26" s="324" t="s">
        <v>104</v>
      </c>
      <c r="ACE26" s="324" t="s">
        <v>102</v>
      </c>
      <c r="ACF26" s="325"/>
      <c r="ACG26" s="326">
        <f t="shared" ref="ACG26" ca="1" si="8001">IFERROR(MATCH(ACG12,ABX26:ACA26,0),0)</f>
        <v>0</v>
      </c>
      <c r="ACH26" s="326">
        <f t="shared" ref="ACH26" ca="1" si="8002">IFERROR(MATCH(ACH12,ABX26:ACA26,0),0)</f>
        <v>1</v>
      </c>
      <c r="ACI26" s="326">
        <f t="shared" ref="ACI26" ca="1" si="8003">IFERROR(MATCH(ACI12,ABX26:ACA26,0),0)</f>
        <v>2</v>
      </c>
      <c r="ACJ26" s="326">
        <f t="shared" ref="ACJ26" ca="1" si="8004">IFERROR(MATCH(ACJ12,ABX26:ACA26,0),0)</f>
        <v>0</v>
      </c>
      <c r="ACK26" s="326">
        <f t="shared" ca="1" si="3756"/>
        <v>3</v>
      </c>
      <c r="ACL26" s="325" t="s">
        <v>103</v>
      </c>
      <c r="ACM26" s="325" t="str">
        <f t="shared" ref="ACM26" ca="1" si="8005">VLOOKUP(1,XQ18:XR21,2,FALSE)</f>
        <v>Denmark</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3</v>
      </c>
      <c r="ACV26" s="319">
        <f t="shared" ca="1" si="7588"/>
        <v>1002</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2</v>
      </c>
      <c r="ADD26" s="319" t="str">
        <f t="shared" ref="ADD26" ca="1" si="8016">IF(ADD25&lt;&gt;"",ADB26,"")</f>
        <v/>
      </c>
      <c r="ADE26" s="319" t="str">
        <f t="shared" ref="ADE26" ca="1" si="8017">IF(ADE25&lt;&gt;"",ADB27,"")</f>
        <v/>
      </c>
      <c r="ADF26" s="319" t="str">
        <f t="shared" ref="ADF26" ca="1" si="8018">IF(ADF25&lt;&gt;"",ADB28,"")</f>
        <v/>
      </c>
      <c r="ADG26" s="319" t="str">
        <f t="shared" ref="ADG26" si="8019">IF(ADG25&lt;&gt;"",ADB29,"")</f>
        <v/>
      </c>
      <c r="ADH26" s="319"/>
      <c r="ADI26" s="319" t="str">
        <f t="shared" ca="1" si="7598"/>
        <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t="str">
        <f t="shared" ca="1" si="7605"/>
        <v/>
      </c>
      <c r="ADQ26" s="319" t="str">
        <f t="shared" ref="ADQ26" ca="1" si="8025">IF(ADI26&lt;&gt;"",VLOOKUP(ADI26,ACP4:ACV40,7,FALSE),"")</f>
        <v/>
      </c>
      <c r="ADR26" s="319" t="str">
        <f t="shared" ref="ADR26" ca="1" si="8026">IF(ADI26&lt;&gt;"",VLOOKUP(ADI26,ACP4:ACV40,5,FALSE),"")</f>
        <v/>
      </c>
      <c r="ADS26" s="319" t="str">
        <f t="shared" ref="ADS26" ca="1" si="8027">IF(ADI26&lt;&gt;"",VLOOKUP(ADI26,ACP4:ACX40,9,FALSE),"")</f>
        <v/>
      </c>
      <c r="ADT26" s="319" t="str">
        <f t="shared" ca="1" si="7609"/>
        <v/>
      </c>
      <c r="ADU26" s="319" t="str">
        <f t="shared" ref="ADU26" ca="1" si="8028">IF(ADI26&lt;&gt;"",RANK(ADT26,ADT25:ADT29),"")</f>
        <v/>
      </c>
      <c r="ADV26" s="319" t="str">
        <f t="shared" ref="ADV26" ca="1" si="8029">IF(ADI26&lt;&gt;"",SUMPRODUCT((ADT25:ADT29=ADT26)*(ADO25:ADO29&gt;ADO26)),"")</f>
        <v/>
      </c>
      <c r="ADW26" s="319" t="str">
        <f t="shared" ref="ADW26" ca="1" si="8030">IF(ADI26&lt;&gt;"",SUMPRODUCT((ADT25:ADT29=ADT26)*(ADO25:ADO29=ADO26)*(ADM25:ADM29&gt;ADM26)),"")</f>
        <v/>
      </c>
      <c r="ADX26" s="319" t="str">
        <f t="shared" ref="ADX26" ca="1" si="8031">IF(ADI26&lt;&gt;"",SUMPRODUCT((ADT25:ADT29=ADT26)*(ADO25:ADO29=ADO26)*(ADM25:ADM29=ADM26)*(ADQ25:ADQ29&gt;ADQ26)),"")</f>
        <v/>
      </c>
      <c r="ADY26" s="319" t="str">
        <f t="shared" ref="ADY26" ca="1" si="8032">IF(ADI26&lt;&gt;"",SUMPRODUCT((ADT25:ADT29=ADT26)*(ADO25:ADO29=ADO26)*(ADM25:ADM29=ADM26)*(ADQ25:ADQ29=ADQ26)*(ADR25:ADR29&gt;ADR26)),"")</f>
        <v/>
      </c>
      <c r="ADZ26" s="319" t="str">
        <f t="shared" ref="ADZ26" ca="1" si="8033">IF(ADI26&lt;&gt;"",SUMPRODUCT((ADT25:ADT29=ADT26)*(ADO25:ADO29=ADO26)*(ADM25:ADM29=ADM26)*(ADQ25:ADQ29=ADQ26)*(ADR25:ADR29=ADR26)*(ADS25:ADS29&gt;ADS26)),"")</f>
        <v/>
      </c>
      <c r="AEA26" s="319" t="str">
        <f ca="1">IF(ADI26&lt;&gt;"",IF(AEA66&lt;&gt;"",IF(ADH64=3,AEA66,AEA66+ADH64),SUM(ADU26:ADZ26)),"")</f>
        <v/>
      </c>
      <c r="AEB26" s="319" t="str">
        <f t="shared" ref="AEB26" ca="1" si="8034">IF(ADI26&lt;&gt;"",INDEX(ADI25:ADI29,MATCH(2,AEA25:AEA29,0),0),"")</f>
        <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1</v>
      </c>
      <c r="AGP26" s="322">
        <f ca="1">IF(OFFSET('Player Game Board'!Q33,0,AGO1)&lt;&gt;"",OFFSET('Player Game Board'!Q33,0,AGO1),0)</f>
        <v>3</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102</v>
      </c>
      <c r="AGW26" s="325" t="s">
        <v>104</v>
      </c>
      <c r="AGX26" s="325" t="s">
        <v>105</v>
      </c>
      <c r="AGY26" s="325" t="s">
        <v>106</v>
      </c>
      <c r="AGZ26" s="324" t="s">
        <v>106</v>
      </c>
      <c r="AHA26" s="324" t="s">
        <v>105</v>
      </c>
      <c r="AHB26" s="324" t="s">
        <v>104</v>
      </c>
      <c r="AHC26" s="324" t="s">
        <v>102</v>
      </c>
      <c r="AHD26" s="325"/>
      <c r="AHE26" s="326">
        <f t="shared" ref="AHE26" ca="1" si="8055">IFERROR(MATCH(AHE12,AGV26:AGY26,0),0)</f>
        <v>4</v>
      </c>
      <c r="AHF26" s="326">
        <f t="shared" ref="AHF26" ca="1" si="8056">IFERROR(MATCH(AHF12,AGV26:AGY26,0),0)</f>
        <v>0</v>
      </c>
      <c r="AHG26" s="326">
        <f t="shared" ref="AHG26" ca="1" si="8057">IFERROR(MATCH(AHG12,AGV26:AGY26,0),0)</f>
        <v>1</v>
      </c>
      <c r="AHH26" s="326">
        <f t="shared" ref="AHH26" ca="1" si="8058">IFERROR(MATCH(AHH12,AGV26:AGY26,0),0)</f>
        <v>0</v>
      </c>
      <c r="AHI26" s="326">
        <f t="shared" ca="1" si="3826"/>
        <v>5</v>
      </c>
      <c r="AHJ26" s="325" t="s">
        <v>103</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6</v>
      </c>
      <c r="AHS26" s="319">
        <f t="shared" ref="AHS26" ca="1" si="8065">SUMIF(ALO3:ALO60,AHN26,ALM3:ALM60)+SUMIF(ALL3:ALL60,AHN26,ALN3:ALN60)</f>
        <v>3</v>
      </c>
      <c r="AHT26" s="319">
        <f t="shared" ca="1" si="7630"/>
        <v>1003</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Austria</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1</v>
      </c>
      <c r="AIO26" s="319">
        <f t="shared" ref="AIO26" ca="1" si="8079">IF(AIG26&lt;&gt;"",VLOOKUP(AIG26,AHN4:AHT40,7,FALSE),"")</f>
        <v>1004</v>
      </c>
      <c r="AIP26" s="319">
        <f t="shared" ref="AIP26" ca="1" si="8080">IF(AIG26&lt;&gt;"",VLOOKUP(AIG26,AHN4:AHT40,5,FALSE),"")</f>
        <v>4</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2</v>
      </c>
      <c r="ALO26" s="319" t="str">
        <f t="shared" si="83"/>
        <v>Czechia</v>
      </c>
      <c r="ALP26" s="319" t="str">
        <f ca="1">IF(AND(OFFSET('Player Game Board'!P33,0,ALM1)&lt;&gt;"",OFFSET('Player Game Board'!Q33,0,ALM1)&lt;&gt;""),IF(ALM26&gt;ALN26,"W",IF(ALM26=ALN26,"D","L")),"")</f>
        <v>L</v>
      </c>
      <c r="ALQ26" s="319" t="str">
        <f t="shared" ca="1" si="5720"/>
        <v>W</v>
      </c>
      <c r="ALR26" s="319"/>
      <c r="ALS26" s="319"/>
      <c r="ALT26" s="324" t="s">
        <v>102</v>
      </c>
      <c r="ALU26" s="325" t="s">
        <v>104</v>
      </c>
      <c r="ALV26" s="325" t="s">
        <v>105</v>
      </c>
      <c r="ALW26" s="325" t="s">
        <v>106</v>
      </c>
      <c r="ALX26" s="324" t="s">
        <v>106</v>
      </c>
      <c r="ALY26" s="324" t="s">
        <v>105</v>
      </c>
      <c r="ALZ26" s="324" t="s">
        <v>104</v>
      </c>
      <c r="AMA26" s="324" t="s">
        <v>102</v>
      </c>
      <c r="AMB26" s="325"/>
      <c r="AMC26" s="326">
        <f t="shared" ref="AMC26" ca="1" si="8109">IFERROR(MATCH(AMC12,ALT26:ALW26,0),0)</f>
        <v>1</v>
      </c>
      <c r="AMD26" s="326">
        <f t="shared" ref="AMD26" ca="1" si="8110">IFERROR(MATCH(AMD12,ALT26:ALW26,0),0)</f>
        <v>0</v>
      </c>
      <c r="AME26" s="326">
        <f t="shared" ref="AME26" ca="1" si="8111">IFERROR(MATCH(AME12,ALT26:ALW26,0),0)</f>
        <v>4</v>
      </c>
      <c r="AMF26" s="326">
        <f t="shared" ref="AMF26" ca="1" si="8112">IFERROR(MATCH(AMF12,ALT26:ALW26,0),0)</f>
        <v>3</v>
      </c>
      <c r="AMG26" s="326">
        <f t="shared" ca="1" si="3896"/>
        <v>8</v>
      </c>
      <c r="AMH26" s="325" t="s">
        <v>103</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102</v>
      </c>
      <c r="AQS26" s="325" t="s">
        <v>104</v>
      </c>
      <c r="AQT26" s="325" t="s">
        <v>105</v>
      </c>
      <c r="AQU26" s="325" t="s">
        <v>106</v>
      </c>
      <c r="AQV26" s="324" t="s">
        <v>106</v>
      </c>
      <c r="AQW26" s="324" t="s">
        <v>105</v>
      </c>
      <c r="AQX26" s="324" t="s">
        <v>104</v>
      </c>
      <c r="AQY26" s="324" t="s">
        <v>102</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103</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102</v>
      </c>
      <c r="AVQ26" s="325" t="s">
        <v>104</v>
      </c>
      <c r="AVR26" s="325" t="s">
        <v>105</v>
      </c>
      <c r="AVS26" s="325" t="s">
        <v>106</v>
      </c>
      <c r="AVT26" s="324" t="s">
        <v>106</v>
      </c>
      <c r="AVU26" s="324" t="s">
        <v>105</v>
      </c>
      <c r="AVV26" s="324" t="s">
        <v>104</v>
      </c>
      <c r="AVW26" s="324" t="s">
        <v>102</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103</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102</v>
      </c>
      <c r="BAO26" s="325" t="s">
        <v>104</v>
      </c>
      <c r="BAP26" s="325" t="s">
        <v>105</v>
      </c>
      <c r="BAQ26" s="325" t="s">
        <v>106</v>
      </c>
      <c r="BAR26" s="324" t="s">
        <v>106</v>
      </c>
      <c r="BAS26" s="324" t="s">
        <v>105</v>
      </c>
      <c r="BAT26" s="324" t="s">
        <v>104</v>
      </c>
      <c r="BAU26" s="324" t="s">
        <v>102</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103</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102</v>
      </c>
      <c r="BFM26" s="325" t="s">
        <v>104</v>
      </c>
      <c r="BFN26" s="325" t="s">
        <v>105</v>
      </c>
      <c r="BFO26" s="325" t="s">
        <v>106</v>
      </c>
      <c r="BFP26" s="324" t="s">
        <v>106</v>
      </c>
      <c r="BFQ26" s="324" t="s">
        <v>105</v>
      </c>
      <c r="BFR26" s="324" t="s">
        <v>104</v>
      </c>
      <c r="BFS26" s="324" t="s">
        <v>102</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103</v>
      </c>
      <c r="BGA26" s="325" t="str">
        <f t="shared" ref="BGA26" ca="1" si="8329">VLOOKUP(1,BBE18:BBF21,2,FALSE)</f>
        <v>England</v>
      </c>
      <c r="BGB26" s="325">
        <f t="shared" ca="1" si="5439"/>
        <v>1</v>
      </c>
    </row>
    <row r="27" spans="1:1536" ht="13.8" x14ac:dyDescent="0.3">
      <c r="A27" s="319">
        <f>VLOOKUP(B27,CW25:CX29,2,FALSE)</f>
        <v>3</v>
      </c>
      <c r="B27" s="319" t="str">
        <f>'Language Table'!C7</f>
        <v>Austria</v>
      </c>
      <c r="C27" s="319">
        <f>SUMPRODUCT((CZ3:CZ42=B27)*(DD3:DD42="W"))+SUMPRODUCT((DC3:DC42=B27)*(DE3:DE42="W"))</f>
        <v>1</v>
      </c>
      <c r="D27" s="319">
        <f>SUMPRODUCT((CZ3:CZ42=B27)*(DD3:DD42="D"))+SUMPRODUCT((DC3:DC42=B27)*(DE3:DE42="D"))</f>
        <v>0</v>
      </c>
      <c r="E27" s="319">
        <f>SUMPRODUCT((CZ3:CZ42=B27)*(DD3:DD42="L"))+SUMPRODUCT((DC3:DC42=B27)*(DE3:DE42="L"))</f>
        <v>1</v>
      </c>
      <c r="F27" s="319">
        <f>SUMIF(CZ3:CZ60,B27,DA3:DA60)+SUMIF(DC3:DC60,B27,DB3:DB60)</f>
        <v>3</v>
      </c>
      <c r="G27" s="319">
        <f>SUMIF(DC3:DC60,B27,DA3:DA60)+SUMIF(CZ3:CZ60,B27,DB3:DB60)</f>
        <v>2</v>
      </c>
      <c r="H27" s="319">
        <f t="shared" si="7443"/>
        <v>1001</v>
      </c>
      <c r="I27" s="319">
        <f t="shared" si="7444"/>
        <v>3</v>
      </c>
      <c r="J27" s="319">
        <v>41</v>
      </c>
      <c r="K27" s="319">
        <f>IF(COUNTIF(I25:I29,4)&lt;&gt;4,RANK(I27,I25:I29),I67)</f>
        <v>1</v>
      </c>
      <c r="L27" s="319"/>
      <c r="M27" s="319">
        <f>SUMPRODUCT((K25:K28=K27)*(J25:J28&lt;J27))+K27</f>
        <v>1</v>
      </c>
      <c r="N27" s="319" t="str">
        <f>INDEX(B25:B29,MATCH(3,M25:M29,0),0)</f>
        <v>France</v>
      </c>
      <c r="O27" s="319">
        <f>INDEX(K25:K29,MATCH(N27,B25:B29,0),0)</f>
        <v>1</v>
      </c>
      <c r="P27" s="319" t="str">
        <f>IF(AND(P26&lt;&gt;"",O27=1),N27,"")</f>
        <v>France</v>
      </c>
      <c r="Q27" s="319" t="str">
        <f>IF(AND(Q26&lt;&gt;"",O28=2),N28,"")</f>
        <v/>
      </c>
      <c r="R27" s="319" t="str">
        <f>IF(AND(R26&lt;&gt;"",O29=3),N29,"")</f>
        <v/>
      </c>
      <c r="S27" s="319"/>
      <c r="T27" s="319"/>
      <c r="U27" s="319" t="str">
        <f t="shared" si="7833"/>
        <v>France</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1</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1</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1001</v>
      </c>
      <c r="AB27" s="319">
        <f t="shared" si="7445"/>
        <v>3</v>
      </c>
      <c r="AC27" s="319">
        <f>IF(U27&lt;&gt;"",VLOOKUP(U27,B4:H40,7,FALSE),"")</f>
        <v>1001</v>
      </c>
      <c r="AD27" s="319">
        <f>IF(U27&lt;&gt;"",VLOOKUP(U27,B4:H40,5,FALSE),"")</f>
        <v>1</v>
      </c>
      <c r="AE27" s="319">
        <f>IF(U27&lt;&gt;"",VLOOKUP(U27,B4:J40,9,FALSE),"")</f>
        <v>52</v>
      </c>
      <c r="AF27" s="319">
        <f t="shared" si="7446"/>
        <v>3</v>
      </c>
      <c r="AG27" s="319">
        <f>IF(U27&lt;&gt;"",RANK(AF27,AF25:AF29),"")</f>
        <v>1</v>
      </c>
      <c r="AH27" s="319">
        <f>IF(U27&lt;&gt;"",SUMPRODUCT((AF25:AF29=AF27)*(AA25:AA29&gt;AA27)),"")</f>
        <v>0</v>
      </c>
      <c r="AI27" s="319">
        <f>IF(U27&lt;&gt;"",SUMPRODUCT((AF25:AF29=AF27)*(AA25:AA29=AA27)*(Y25:Y29&gt;Y27)),"")</f>
        <v>0</v>
      </c>
      <c r="AJ27" s="319">
        <f>IF(U27&lt;&gt;"",SUMPRODUCT((AF25:AF29=AF27)*(AA25:AA29=AA27)*(Y25:Y29=Y27)*(AC25:AC29&gt;AC27)),"")</f>
        <v>0</v>
      </c>
      <c r="AK27" s="319">
        <f>IF(U27&lt;&gt;"",SUMPRODUCT((AF25:AF29=AF27)*(AA25:AA29=AA27)*(Y25:Y29=Y27)*(AC25:AC29=AC27)*(AD25:AD29&gt;AD27)),"")</f>
        <v>0</v>
      </c>
      <c r="AL27" s="319">
        <f>IF(U27&lt;&gt;"",SUMPRODUCT((AF25:AF29=AF27)*(AA25:AA29=AA27)*(Y25:Y29=Y27)*(AC25:AC29=AC27)*(AD25:AD29=AD27)*(AE25:AE29&gt;AE27)),"")</f>
        <v>0</v>
      </c>
      <c r="AM27" s="319">
        <f>IF(U27&lt;&gt;"",IF(AM67&lt;&gt;"",IF(T64=3,AM67,AM67+T64),SUM(AG27:AL27)),"")</f>
        <v>1</v>
      </c>
      <c r="AN27" s="319" t="str">
        <f>IF(U27&lt;&gt;"",INDEX(U25:U29,MATCH(3,AM25:AM29,0),0),"")</f>
        <v>Austria</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103</v>
      </c>
      <c r="DI27" s="325" t="s">
        <v>104</v>
      </c>
      <c r="DJ27" s="325" t="s">
        <v>105</v>
      </c>
      <c r="DK27" s="325" t="s">
        <v>106</v>
      </c>
      <c r="DL27" s="324" t="s">
        <v>106</v>
      </c>
      <c r="DM27" s="324" t="s">
        <v>105</v>
      </c>
      <c r="DN27" s="324" t="s">
        <v>104</v>
      </c>
      <c r="DO27" s="324" t="s">
        <v>103</v>
      </c>
      <c r="DP27" s="325"/>
      <c r="DQ27" s="326">
        <f>IFERROR(MATCH(DQ12,DH27:DK27,0),0)</f>
        <v>2</v>
      </c>
      <c r="DR27" s="326">
        <f>IFERROR(MATCH(DR12,DH27:DK27,0),0)</f>
        <v>3</v>
      </c>
      <c r="DS27" s="326">
        <f>IFERROR(MATCH(DS12,DH27:DK27,0),0)</f>
        <v>1</v>
      </c>
      <c r="DT27" s="326">
        <f>IFERROR(MATCH(DT12,DH27:DK27,0),0)</f>
        <v>0</v>
      </c>
      <c r="DU27" s="326">
        <f t="shared" si="3541"/>
        <v>6</v>
      </c>
      <c r="DV27" s="319"/>
      <c r="DW27" s="319" t="str">
        <f>VLOOKUP(2,A18:B21,2,FALSE)</f>
        <v>Denmark</v>
      </c>
      <c r="DX27" s="325"/>
      <c r="DY27" s="319">
        <f ca="1">VLOOKUP(DZ27,HU25:HV29,2,FALSE)</f>
        <v>3</v>
      </c>
      <c r="DZ27" s="319" t="str">
        <f t="shared" si="7836"/>
        <v>Austria</v>
      </c>
      <c r="EA27" s="319">
        <f ca="1">SUMPRODUCT((HX3:HX42=DZ27)*(IB3:IB42="W"))+SUMPRODUCT((IA3:IA42=DZ27)*(IC3:IC42="W"))</f>
        <v>1</v>
      </c>
      <c r="EB27" s="319">
        <f ca="1">SUMPRODUCT((HX3:HX42=DZ27)*(IB3:IB42="D"))+SUMPRODUCT((IA3:IA42=DZ27)*(IC3:IC42="D"))</f>
        <v>1</v>
      </c>
      <c r="EC27" s="319">
        <f ca="1">SUMPRODUCT((HX3:HX42=DZ27)*(IB3:IB42="L"))+SUMPRODUCT((IA3:IA42=DZ27)*(IC3:IC42="L"))</f>
        <v>1</v>
      </c>
      <c r="ED27" s="319">
        <f ca="1">SUMIF(HX3:HX60,DZ27,HY3:HY60)+SUMIF(IA3:IA60,DZ27,HZ3:HZ60)</f>
        <v>5</v>
      </c>
      <c r="EE27" s="319">
        <f ca="1">SUMIF(IA3:IA60,DZ27,HY3:HY60)+SUMIF(HX3:HX60,DZ27,HZ3:HZ60)</f>
        <v>6</v>
      </c>
      <c r="EF27" s="319">
        <f t="shared" ca="1" si="7447"/>
        <v>999</v>
      </c>
      <c r="EG27" s="319">
        <f t="shared" ca="1" si="7448"/>
        <v>4</v>
      </c>
      <c r="EH27" s="319">
        <f t="shared" si="609"/>
        <v>41</v>
      </c>
      <c r="EI27" s="319">
        <f ca="1">IF(COUNTIF(EG25:EG29,4)&lt;&gt;4,RANK(EG27,EG25:EG29),EG67)</f>
        <v>3</v>
      </c>
      <c r="EJ27" s="319"/>
      <c r="EK27" s="319">
        <f ca="1">SUMPRODUCT((EI25:EI28=EI27)*(EH25:EH28&lt;EH27))+EI27</f>
        <v>3</v>
      </c>
      <c r="EL27" s="319" t="str">
        <f ca="1">INDEX(DZ25:DZ29,MATCH(3,EK25:EK29,0),0)</f>
        <v>Austria</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Austria</v>
      </c>
      <c r="HV27" s="319">
        <v>3</v>
      </c>
      <c r="HW27" s="319">
        <v>25</v>
      </c>
      <c r="HX27" s="319" t="str">
        <f t="shared" si="164"/>
        <v>Switzerland</v>
      </c>
      <c r="HY27" s="322">
        <f ca="1">IF(OFFSET('Player Game Board'!P34,0,HY1)&lt;&gt;"",OFFSET('Player Game Board'!P34,0,HY1),0)</f>
        <v>2</v>
      </c>
      <c r="HZ27" s="322">
        <f ca="1">IF(OFFSET('Player Game Board'!Q34,0,HY1)&lt;&gt;"",OFFSET('Player Game Board'!Q34,0,HY1),0)</f>
        <v>2</v>
      </c>
      <c r="IA27" s="319" t="str">
        <f t="shared" si="165"/>
        <v>Germany</v>
      </c>
      <c r="IB27" s="319" t="str">
        <f ca="1">IF(AND(OFFSET('Player Game Board'!P34,0,HY1)&lt;&gt;"",OFFSET('Player Game Board'!Q34,0,HY1)&lt;&gt;""),IF(HY27&gt;HZ27,"W",IF(HY27=HZ27,"D","L")),"")</f>
        <v>D</v>
      </c>
      <c r="IC27" s="319" t="str">
        <f t="shared" ca="1" si="166"/>
        <v>D</v>
      </c>
      <c r="ID27" s="319"/>
      <c r="IE27" s="319"/>
      <c r="IF27" s="324" t="s">
        <v>103</v>
      </c>
      <c r="IG27" s="325" t="s">
        <v>104</v>
      </c>
      <c r="IH27" s="325" t="s">
        <v>105</v>
      </c>
      <c r="II27" s="325" t="s">
        <v>106</v>
      </c>
      <c r="IJ27" s="324" t="s">
        <v>106</v>
      </c>
      <c r="IK27" s="324" t="s">
        <v>105</v>
      </c>
      <c r="IL27" s="324" t="s">
        <v>104</v>
      </c>
      <c r="IM27" s="324" t="s">
        <v>103</v>
      </c>
      <c r="IN27" s="325"/>
      <c r="IO27" s="326">
        <f ca="1">IFERROR(MATCH(IO12,IF27:II27,0),0)</f>
        <v>0</v>
      </c>
      <c r="IP27" s="326">
        <f ca="1">IFERROR(MATCH(IP12,IF27:II27,0),0)</f>
        <v>2</v>
      </c>
      <c r="IQ27" s="326">
        <f ca="1">IFERROR(MATCH(IQ12,IF27:II27,0),0)</f>
        <v>4</v>
      </c>
      <c r="IR27" s="326">
        <f ca="1">IFERROR(MATCH(IR12,IF27:II27,0),0)</f>
        <v>0</v>
      </c>
      <c r="IS27" s="326">
        <f t="shared" ca="1" si="3544"/>
        <v>6</v>
      </c>
      <c r="IT27" s="319"/>
      <c r="IU27" s="319" t="str">
        <f ca="1">VLOOKUP(2,DY18:DZ21,2,FALSE)</f>
        <v>England</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1</v>
      </c>
      <c r="JA27" s="319">
        <f ca="1">SUMPRODUCT((MV3:MV42=IX27)*(MZ3:MZ42="L"))+SUMPRODUCT((MY3:MY42=IX27)*(NA3:NA42="L"))</f>
        <v>2</v>
      </c>
      <c r="JB27" s="319">
        <f ca="1">SUMIF(MV3:MV60,IX27,MW3:MW60)+SUMIF(MY3:MY60,IX27,MX3:MX60)</f>
        <v>1</v>
      </c>
      <c r="JC27" s="319">
        <f ca="1">SUMIF(MY3:MY60,IX27,MW3:MW60)+SUMIF(MV3:MV60,IX27,MX3:MX60)</f>
        <v>4</v>
      </c>
      <c r="JD27" s="319">
        <f t="shared" ca="1" si="7451"/>
        <v>997</v>
      </c>
      <c r="JE27" s="319">
        <f t="shared" ca="1" si="7452"/>
        <v>1</v>
      </c>
      <c r="JF27" s="319">
        <f t="shared" si="618"/>
        <v>41</v>
      </c>
      <c r="JG27" s="319">
        <f ca="1">IF(COUNTIF(JE25:JE29,4)&lt;&gt;4,RANK(JE27,JE25:JE29),JE67)</f>
        <v>4</v>
      </c>
      <c r="JH27" s="319"/>
      <c r="JI27" s="319">
        <f ca="1">SUMPRODUCT((JG25:JG28=JG27)*(JF25:JF28&lt;JF27))+JG27</f>
        <v>4</v>
      </c>
      <c r="JJ27" s="319" t="str">
        <f ca="1">INDEX(IX25:IX29,MATCH(3,JI25:JI29,0),0)</f>
        <v>Netherlands</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Netherlands</v>
      </c>
      <c r="MT27" s="319">
        <v>3</v>
      </c>
      <c r="MU27" s="319">
        <v>25</v>
      </c>
      <c r="MV27" s="319" t="str">
        <f t="shared" si="170"/>
        <v>Switzerland</v>
      </c>
      <c r="MW27" s="322">
        <f ca="1">IF(OFFSET('Player Game Board'!P34,0,MW1)&lt;&gt;"",OFFSET('Player Game Board'!P34,0,MW1),0)</f>
        <v>0</v>
      </c>
      <c r="MX27" s="322">
        <f ca="1">IF(OFFSET('Player Game Board'!Q34,0,MW1)&lt;&gt;"",OFFSET('Player Game Board'!Q34,0,MW1),0)</f>
        <v>5</v>
      </c>
      <c r="MY27" s="319" t="str">
        <f t="shared" si="171"/>
        <v>Germany</v>
      </c>
      <c r="MZ27" s="319" t="str">
        <f ca="1">IF(AND(OFFSET('Player Game Board'!P34,0,MW1)&lt;&gt;"",OFFSET('Player Game Board'!Q34,0,MW1)&lt;&gt;""),IF(MW27&gt;MX27,"W",IF(MW27=MX27,"D","L")),"")</f>
        <v>L</v>
      </c>
      <c r="NA27" s="319" t="str">
        <f t="shared" ca="1" si="172"/>
        <v>W</v>
      </c>
      <c r="NB27" s="319"/>
      <c r="NC27" s="319"/>
      <c r="ND27" s="324" t="s">
        <v>103</v>
      </c>
      <c r="NE27" s="325" t="s">
        <v>104</v>
      </c>
      <c r="NF27" s="325" t="s">
        <v>105</v>
      </c>
      <c r="NG27" s="325" t="s">
        <v>106</v>
      </c>
      <c r="NH27" s="324" t="s">
        <v>106</v>
      </c>
      <c r="NI27" s="324" t="s">
        <v>105</v>
      </c>
      <c r="NJ27" s="324" t="s">
        <v>104</v>
      </c>
      <c r="NK27" s="324" t="s">
        <v>103</v>
      </c>
      <c r="NL27" s="325"/>
      <c r="NM27" s="326">
        <f ca="1">IFERROR(MATCH(NM12,ND27:NG27,0),0)</f>
        <v>0</v>
      </c>
      <c r="NN27" s="326">
        <f ca="1">IFERROR(MATCH(NN12,ND27:NG27,0),0)</f>
        <v>0</v>
      </c>
      <c r="NO27" s="326">
        <f ca="1">IFERROR(MATCH(NO12,ND27:NG27,0),0)</f>
        <v>4</v>
      </c>
      <c r="NP27" s="326">
        <f ca="1">IFERROR(MATCH(NP12,ND27:NG27,0),0)</f>
        <v>3</v>
      </c>
      <c r="NQ27" s="326">
        <f t="shared" ca="1" si="3547"/>
        <v>7</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2</v>
      </c>
      <c r="NY27" s="319">
        <f t="shared" ref="NY27" ca="1" si="8339">SUMPRODUCT((RT3:RT42=NV27)*(RX3:RX42="L"))+SUMPRODUCT((RW3:RW42=NV27)*(RY3:RY42="L"))</f>
        <v>1</v>
      </c>
      <c r="NZ27" s="319">
        <f t="shared" ref="NZ27" ca="1" si="8340">SUMIF(RT3:RT60,NV27,RU3:RU60)+SUMIF(RW3:RW60,NV27,RV3:RV60)</f>
        <v>2</v>
      </c>
      <c r="OA27" s="319">
        <f t="shared" ref="OA27" ca="1" si="8341">SUMIF(RW3:RW60,NV27,RU3:RU60)+SUMIF(RT3:RT60,NV27,RV3:RV60)</f>
        <v>4</v>
      </c>
      <c r="OB27" s="319">
        <f t="shared" ca="1" si="7462"/>
        <v>998</v>
      </c>
      <c r="OC27" s="319">
        <f t="shared" ca="1" si="7463"/>
        <v>2</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103</v>
      </c>
      <c r="SC27" s="325" t="s">
        <v>104</v>
      </c>
      <c r="SD27" s="325" t="s">
        <v>105</v>
      </c>
      <c r="SE27" s="325" t="s">
        <v>106</v>
      </c>
      <c r="SF27" s="324" t="s">
        <v>106</v>
      </c>
      <c r="SG27" s="324" t="s">
        <v>105</v>
      </c>
      <c r="SH27" s="324" t="s">
        <v>104</v>
      </c>
      <c r="SI27" s="324" t="s">
        <v>103</v>
      </c>
      <c r="SJ27" s="325"/>
      <c r="SK27" s="326">
        <f t="shared" ref="SK27" ca="1" si="8400">IFERROR(MATCH(SK12,SB27:SE27,0),0)</f>
        <v>1</v>
      </c>
      <c r="SL27" s="326">
        <f t="shared" ref="SL27" ca="1" si="8401">IFERROR(MATCH(SL12,SB27:SE27,0),0)</f>
        <v>0</v>
      </c>
      <c r="SM27" s="326">
        <f t="shared" ref="SM27" ca="1" si="8402">IFERROR(MATCH(SM12,SB27:SE27,0),0)</f>
        <v>4</v>
      </c>
      <c r="SN27" s="326">
        <f t="shared" ref="SN27" ca="1" si="8403">IFERROR(MATCH(SN12,SB27:SE27,0),0)</f>
        <v>3</v>
      </c>
      <c r="SO27" s="326">
        <f t="shared" ca="1" si="3616"/>
        <v>8</v>
      </c>
      <c r="SP27" s="319"/>
      <c r="SQ27" s="319" t="str">
        <f t="shared" ref="SQ27" ca="1" si="8404">VLOOKUP(2,NU18:NV21,2,FALSE)</f>
        <v>Serbia</v>
      </c>
      <c r="SR27" s="325">
        <f t="shared" ca="1" si="5095"/>
        <v>0</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2</v>
      </c>
      <c r="SY27" s="319">
        <f t="shared" ref="SY27" ca="1" si="8410">SUMIF(WU3:WU60,ST27,WS3:WS60)+SUMIF(WR3:WR60,ST27,WT3:WT60)</f>
        <v>5</v>
      </c>
      <c r="SZ27" s="319">
        <f t="shared" ca="1" si="7504"/>
        <v>997</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2</v>
      </c>
      <c r="WT27" s="322">
        <f ca="1">IF(OFFSET('Player Game Board'!Q34,0,WS1)&lt;&gt;"",OFFSET('Player Game Board'!Q34,0,WS1),0)</f>
        <v>2</v>
      </c>
      <c r="WU27" s="319" t="str">
        <f t="shared" si="35"/>
        <v>Germany</v>
      </c>
      <c r="WV27" s="319" t="str">
        <f ca="1">IF(AND(OFFSET('Player Game Board'!P34,0,WS1)&lt;&gt;"",OFFSET('Player Game Board'!Q34,0,WS1)&lt;&gt;""),IF(WS27&gt;WT27,"W",IF(WS27=WT27,"D","L")),"")</f>
        <v>D</v>
      </c>
      <c r="WW27" s="319" t="str">
        <f t="shared" ca="1" si="5555"/>
        <v>D</v>
      </c>
      <c r="WX27" s="319"/>
      <c r="WY27" s="319"/>
      <c r="WZ27" s="324" t="s">
        <v>103</v>
      </c>
      <c r="XA27" s="325" t="s">
        <v>104</v>
      </c>
      <c r="XB27" s="325" t="s">
        <v>105</v>
      </c>
      <c r="XC27" s="325" t="s">
        <v>106</v>
      </c>
      <c r="XD27" s="324" t="s">
        <v>106</v>
      </c>
      <c r="XE27" s="324" t="s">
        <v>105</v>
      </c>
      <c r="XF27" s="324" t="s">
        <v>104</v>
      </c>
      <c r="XG27" s="324" t="s">
        <v>103</v>
      </c>
      <c r="XH27" s="325"/>
      <c r="XI27" s="326">
        <f t="shared" ref="XI27" ca="1" si="8469">IFERROR(MATCH(XI12,WZ27:XC27,0),0)</f>
        <v>4</v>
      </c>
      <c r="XJ27" s="326">
        <f t="shared" ref="XJ27" ca="1" si="8470">IFERROR(MATCH(XJ12,WZ27:XC27,0),0)</f>
        <v>3</v>
      </c>
      <c r="XK27" s="326">
        <f t="shared" ref="XK27" ca="1" si="8471">IFERROR(MATCH(XK12,WZ27:XC27,0),0)</f>
        <v>0</v>
      </c>
      <c r="XL27" s="326">
        <f t="shared" ref="XL27" ca="1" si="8472">IFERROR(MATCH(XL12,WZ27:XC27,0),0)</f>
        <v>0</v>
      </c>
      <c r="XM27" s="326">
        <f t="shared" ca="1" si="3686"/>
        <v>7</v>
      </c>
      <c r="XN27" s="319"/>
      <c r="XO27" s="319" t="str">
        <f t="shared" ref="XO27" ca="1" si="8473">VLOOKUP(2,SS18:ST21,2,FALSE)</f>
        <v>Denmark</v>
      </c>
      <c r="XP27" s="325">
        <f t="shared" ca="1" si="5138"/>
        <v>1</v>
      </c>
      <c r="XQ27" s="319">
        <f t="shared" ref="XQ27" ca="1" si="8474">VLOOKUP(XR27,ABM25:ABN29,2,FALSE)</f>
        <v>3</v>
      </c>
      <c r="XR27" s="319" t="str">
        <f t="shared" si="7540"/>
        <v>Austria</v>
      </c>
      <c r="XS27" s="319">
        <f t="shared" ref="XS27" ca="1" si="8475">SUMPRODUCT((ABP3:ABP42=XR27)*(ABT3:ABT42="W"))+SUMPRODUCT((ABS3:ABS42=XR27)*(ABU3:ABU42="W"))</f>
        <v>1</v>
      </c>
      <c r="XT27" s="319">
        <f t="shared" ref="XT27" ca="1" si="8476">SUMPRODUCT((ABP3:ABP42=XR27)*(ABT3:ABT42="D"))+SUMPRODUCT((ABS3:ABS42=XR27)*(ABU3:ABU42="D"))</f>
        <v>0</v>
      </c>
      <c r="XU27" s="319">
        <f t="shared" ref="XU27" ca="1" si="8477">SUMPRODUCT((ABP3:ABP42=XR27)*(ABT3:ABT42="L"))+SUMPRODUCT((ABS3:ABS42=XR27)*(ABU3:ABU42="L"))</f>
        <v>2</v>
      </c>
      <c r="XV27" s="319">
        <f t="shared" ref="XV27" ca="1" si="8478">SUMIF(ABP3:ABP60,XR27,ABQ3:ABQ60)+SUMIF(ABS3:ABS60,XR27,ABR3:ABR60)</f>
        <v>3</v>
      </c>
      <c r="XW27" s="319">
        <f t="shared" ref="XW27" ca="1" si="8479">SUMIF(ABS3:ABS60,XR27,ABQ3:ABQ60)+SUMIF(ABP3:ABP60,XR27,ABR3:ABR60)</f>
        <v>3</v>
      </c>
      <c r="XX27" s="319">
        <f t="shared" ca="1" si="7546"/>
        <v>1000</v>
      </c>
      <c r="XY27" s="319">
        <f t="shared" ca="1" si="7547"/>
        <v>3</v>
      </c>
      <c r="XZ27" s="319">
        <f t="shared" si="750"/>
        <v>41</v>
      </c>
      <c r="YA27" s="319">
        <f t="shared" ref="YA27" ca="1" si="8480">IF(COUNTIF(XY25:XY29,4)&lt;&gt;4,RANK(XY27,XY25:XY29),XY67)</f>
        <v>3</v>
      </c>
      <c r="YB27" s="319"/>
      <c r="YC27" s="319">
        <f t="shared" ref="YC27" ca="1" si="8481">SUMPRODUCT((YA25:YA28=YA27)*(XZ25:XZ28&lt;XZ27))+YA27</f>
        <v>3</v>
      </c>
      <c r="YD27" s="319" t="str">
        <f t="shared" ref="YD27" ca="1" si="8482">INDEX(XR25:XR29,MATCH(3,YC25:YC29,0),0)</f>
        <v>Austria</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Austria</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103</v>
      </c>
      <c r="ABY27" s="325" t="s">
        <v>104</v>
      </c>
      <c r="ABZ27" s="325" t="s">
        <v>105</v>
      </c>
      <c r="ACA27" s="325" t="s">
        <v>106</v>
      </c>
      <c r="ACB27" s="324" t="s">
        <v>106</v>
      </c>
      <c r="ACC27" s="324" t="s">
        <v>105</v>
      </c>
      <c r="ACD27" s="324" t="s">
        <v>104</v>
      </c>
      <c r="ACE27" s="324" t="s">
        <v>103</v>
      </c>
      <c r="ACF27" s="325"/>
      <c r="ACG27" s="326">
        <f t="shared" ref="ACG27" ca="1" si="8538">IFERROR(MATCH(ACG12,ABX27:ACA27,0),0)</f>
        <v>1</v>
      </c>
      <c r="ACH27" s="326">
        <f t="shared" ref="ACH27" ca="1" si="8539">IFERROR(MATCH(ACH12,ABX27:ACA27,0),0)</f>
        <v>0</v>
      </c>
      <c r="ACI27" s="326">
        <f t="shared" ref="ACI27" ca="1" si="8540">IFERROR(MATCH(ACI12,ABX27:ACA27,0),0)</f>
        <v>2</v>
      </c>
      <c r="ACJ27" s="326">
        <f t="shared" ref="ACJ27" ca="1" si="8541">IFERROR(MATCH(ACJ12,ABX27:ACA27,0),0)</f>
        <v>0</v>
      </c>
      <c r="ACK27" s="326">
        <f t="shared" ca="1" si="3756"/>
        <v>3</v>
      </c>
      <c r="ACL27" s="319"/>
      <c r="ACM27" s="319" t="str">
        <f t="shared" ref="ACM27" ca="1" si="8542">VLOOKUP(2,XQ18:XR21,2,FALSE)</f>
        <v>England</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2</v>
      </c>
      <c r="ACS27" s="319">
        <f t="shared" ref="ACS27" ca="1" si="8546">SUMPRODUCT((AGN3:AGN42=ACP27)*(AGR3:AGR42="L"))+SUMPRODUCT((AGQ3:AGQ42=ACP27)*(AGS3:AGS42="L"))</f>
        <v>1</v>
      </c>
      <c r="ACT27" s="319">
        <f t="shared" ref="ACT27" ca="1" si="8547">SUMIF(AGN3:AGN60,ACP27,AGO3:AGO60)+SUMIF(AGQ3:AGQ60,ACP27,AGP3:AGP60)</f>
        <v>2</v>
      </c>
      <c r="ACU27" s="319">
        <f t="shared" ref="ACU27" ca="1" si="8548">SUMIF(AGQ3:AGQ60,ACP27,AGO3:AGO60)+SUMIF(AGN3:AGN60,ACP27,AGP3:AGP60)</f>
        <v>5</v>
      </c>
      <c r="ACV27" s="319">
        <f t="shared" ca="1" si="7588"/>
        <v>997</v>
      </c>
      <c r="ACW27" s="319">
        <f t="shared" ca="1" si="7589"/>
        <v>2</v>
      </c>
      <c r="ACX27" s="319">
        <f t="shared" si="810"/>
        <v>41</v>
      </c>
      <c r="ACY27" s="319">
        <f t="shared" ref="ACY27" ca="1" si="8549">IF(COUNTIF(ACW25:ACW29,4)&lt;&gt;4,RANK(ACW27,ACW25:ACW29),ACW67)</f>
        <v>3</v>
      </c>
      <c r="ACZ27" s="319"/>
      <c r="ADA27" s="319">
        <f t="shared" ref="ADA27" ca="1" si="8550">SUMPRODUCT((ACY25:ACY28=ACY27)*(ACX25:ACX28&lt;ACX27))+ACY27</f>
        <v>3</v>
      </c>
      <c r="ADB27" s="319" t="str">
        <f t="shared" ref="ADB27" ca="1" si="8551">INDEX(ACP25:ACP29,MATCH(3,ADA25:ADA29,0),0)</f>
        <v>Austria</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103</v>
      </c>
      <c r="AGW27" s="325" t="s">
        <v>104</v>
      </c>
      <c r="AGX27" s="325" t="s">
        <v>105</v>
      </c>
      <c r="AGY27" s="325" t="s">
        <v>106</v>
      </c>
      <c r="AGZ27" s="324" t="s">
        <v>106</v>
      </c>
      <c r="AHA27" s="324" t="s">
        <v>105</v>
      </c>
      <c r="AHB27" s="324" t="s">
        <v>104</v>
      </c>
      <c r="AHC27" s="324" t="s">
        <v>103</v>
      </c>
      <c r="AHD27" s="325"/>
      <c r="AHE27" s="326">
        <f t="shared" ref="AHE27" ca="1" si="8607">IFERROR(MATCH(AHE12,AGV27:AGY27,0),0)</f>
        <v>4</v>
      </c>
      <c r="AHF27" s="326">
        <f t="shared" ref="AHF27" ca="1" si="8608">IFERROR(MATCH(AHF12,AGV27:AGY27,0),0)</f>
        <v>0</v>
      </c>
      <c r="AHG27" s="326">
        <f t="shared" ref="AHG27" ca="1" si="8609">IFERROR(MATCH(AHG12,AGV27:AGY27,0),0)</f>
        <v>0</v>
      </c>
      <c r="AHH27" s="326">
        <f t="shared" ref="AHH27" ca="1" si="8610">IFERROR(MATCH(AHH12,AGV27:AGY27,0),0)</f>
        <v>1</v>
      </c>
      <c r="AHI27" s="326">
        <f t="shared" ca="1" si="3826"/>
        <v>5</v>
      </c>
      <c r="AHJ27" s="319"/>
      <c r="AHK27" s="319" t="str">
        <f t="shared" ref="AHK27" ca="1" si="8611">VLOOKUP(2,ACO18:ACP21,2,FALSE)</f>
        <v>Denmark</v>
      </c>
      <c r="AHL27" s="325">
        <f t="shared" ca="1" si="5224"/>
        <v>1</v>
      </c>
      <c r="AHM27" s="319">
        <f t="shared" ref="AHM27" ca="1" si="8612">VLOOKUP(AHN27,ALI25:ALJ29,2,FALSE)</f>
        <v>4</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1</v>
      </c>
      <c r="AHQ27" s="319">
        <f t="shared" ref="AHQ27" ca="1" si="8615">SUMPRODUCT((ALL3:ALL42=AHN27)*(ALP3:ALP42="L"))+SUMPRODUCT((ALO3:ALO42=AHN27)*(ALQ3:ALQ42="L"))</f>
        <v>2</v>
      </c>
      <c r="AHR27" s="319">
        <f t="shared" ref="AHR27" ca="1" si="8616">SUMIF(ALL3:ALL60,AHN27,ALM3:ALM60)+SUMIF(ALO3:ALO60,AHN27,ALN3:ALN60)</f>
        <v>2</v>
      </c>
      <c r="AHS27" s="319">
        <f t="shared" ref="AHS27" ca="1" si="8617">SUMIF(ALO3:ALO60,AHN27,ALM3:ALM60)+SUMIF(ALL3:ALL60,AHN27,ALN3:ALN60)</f>
        <v>6</v>
      </c>
      <c r="AHT27" s="319">
        <f t="shared" ca="1" si="7630"/>
        <v>996</v>
      </c>
      <c r="AHU27" s="319">
        <f t="shared" ca="1" si="7631"/>
        <v>1</v>
      </c>
      <c r="AHV27" s="319">
        <f t="shared" si="870"/>
        <v>41</v>
      </c>
      <c r="AHW27" s="319">
        <f t="shared" ref="AHW27" ca="1" si="8618">IF(COUNTIF(AHU25:AHU29,4)&lt;&gt;4,RANK(AHU27,AHU25:AHU29),AHU67)</f>
        <v>3</v>
      </c>
      <c r="AHX27" s="319"/>
      <c r="AHY27" s="319">
        <f t="shared" ref="AHY27" ca="1" si="8619">SUMPRODUCT((AHW25:AHW28=AHW27)*(AHV25:AHV28&lt;AHV27))+AHW27</f>
        <v>4</v>
      </c>
      <c r="AHZ27" s="319" t="str">
        <f t="shared" ref="AHZ27" ca="1" si="8620">INDEX(AHN25:AHN29,MATCH(3,AHY25:AHY29,0),0)</f>
        <v>Poland</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Poland</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19">
        <f t="shared" ref="AKA27:AKA28" ca="1" si="8661">AJY27-AJZ27+1000</f>
        <v>1000</v>
      </c>
      <c r="AKB27" s="319">
        <f t="shared" ref="AKB27:AKB28" ca="1" si="8662">IF(AJU27&lt;&gt;"",AJV27*3+AJW27*1,"")</f>
        <v>1</v>
      </c>
      <c r="AKC27" s="319">
        <f t="shared" ref="AKC27" ca="1" si="8663">IF(AJU27&lt;&gt;"",VLOOKUP(AJU27,AHN4:AHT40,7,FALSE),"")</f>
        <v>997</v>
      </c>
      <c r="AKD27" s="319">
        <f t="shared" ref="AKD27" ca="1" si="8664">IF(AJU27&lt;&gt;"",VLOOKUP(AJU27,AHN4:AHT40,5,FALSE),"")</f>
        <v>3</v>
      </c>
      <c r="AKE27" s="319">
        <f t="shared" ref="AKE27" ca="1" si="8665">IF(AJU27&lt;&gt;"",VLOOKUP(AJU27,AHN4:AHV40,9,FALSE),"")</f>
        <v>0</v>
      </c>
      <c r="AKF27" s="319">
        <f t="shared" ref="AKF27:AKF28" ca="1" si="8666">AKB27</f>
        <v>1</v>
      </c>
      <c r="AKG27" s="319">
        <f t="shared" ref="AKG27" ca="1" si="8667">IF(AJU27&lt;&gt;"",RANK(AKF27,AKF25:AKF29),"")</f>
        <v>1</v>
      </c>
      <c r="AKH27" s="319">
        <f t="shared" ref="AKH27" ca="1" si="8668">IF(AJU27&lt;&gt;"",SUMPRODUCT((AKF25:AKF29=AKF27)*(AKA25:AKA29&gt;AKA27)),"")</f>
        <v>0</v>
      </c>
      <c r="AKI27" s="319">
        <f t="shared" ref="AKI27" ca="1" si="8669">IF(AJU27&lt;&gt;"",SUMPRODUCT((AKF25:AKF29=AKF27)*(AKA25:AKA29=AKA27)*(AJY25:AJY29&gt;AJY27)),"")</f>
        <v>0</v>
      </c>
      <c r="AKJ27" s="319">
        <f t="shared" ref="AKJ27" ca="1" si="8670">IF(AJU27&lt;&gt;"",SUMPRODUCT((AKF25:AKF29=AKF27)*(AKA25:AKA29=AKA27)*(AJY25:AJY29=AJY27)*(AKC25:AKC29&gt;AKC27)),"")</f>
        <v>0</v>
      </c>
      <c r="AKK27" s="319">
        <f t="shared" ref="AKK27" ca="1" si="8671">IF(AJU27&lt;&gt;"",SUMPRODUCT((AKF25:AKF29=AKF27)*(AKA25:AKA29=AKA27)*(AJY25:AJY29=AJY27)*(AKC25:AKC29=AKC27)*(AKD25:AKD29&gt;AKD27)),"")</f>
        <v>0</v>
      </c>
      <c r="AKL27" s="319">
        <f t="shared" ref="AKL27" ca="1" si="8672">IF(AJU27&lt;&gt;"",SUMPRODUCT((AKF25:AKF29=AKF27)*(AKA25:AKA29=AKA27)*(AJY25:AJY29=AJY27)*(AKC25:AKC29=AKC27)*(AKD25:AKD29=AKD27)*(AKE25:AKE29&gt;AKE27)),"")</f>
        <v>0</v>
      </c>
      <c r="AKM27" s="319">
        <f t="shared" ref="AKM27:AKM28" ca="1" si="8673">IF(AJU27&lt;&gt;"",SUM(AKG27:AKL27)+2,"")</f>
        <v>3</v>
      </c>
      <c r="AKN27" s="319" t="str">
        <f t="shared" ref="AKN27" ca="1" si="8674">IF(AJU27&lt;&gt;"",INDEX(AJU27:AJU29,MATCH(3,AKM27:AKM29,0),0),"")</f>
        <v>Poland</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Poland</v>
      </c>
      <c r="ALJ27" s="319">
        <v>3</v>
      </c>
      <c r="ALK27" s="319">
        <v>25</v>
      </c>
      <c r="ALL27" s="319" t="str">
        <f t="shared" si="82"/>
        <v>Switzerland</v>
      </c>
      <c r="ALM27" s="322">
        <f ca="1">IF(OFFSET('Player Game Board'!P34,0,ALM1)&lt;&gt;"",OFFSET('Player Game Board'!P34,0,ALM1),0)</f>
        <v>1</v>
      </c>
      <c r="ALN27" s="322">
        <f ca="1">IF(OFFSET('Player Game Board'!Q34,0,ALM1)&lt;&gt;"",OFFSET('Player Game Board'!Q34,0,ALM1),0)</f>
        <v>3</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103</v>
      </c>
      <c r="ALU27" s="325" t="s">
        <v>104</v>
      </c>
      <c r="ALV27" s="325" t="s">
        <v>105</v>
      </c>
      <c r="ALW27" s="325" t="s">
        <v>106</v>
      </c>
      <c r="ALX27" s="324" t="s">
        <v>106</v>
      </c>
      <c r="ALY27" s="324" t="s">
        <v>105</v>
      </c>
      <c r="ALZ27" s="324" t="s">
        <v>104</v>
      </c>
      <c r="AMA27" s="324" t="s">
        <v>103</v>
      </c>
      <c r="AMB27" s="325"/>
      <c r="AMC27" s="326">
        <f t="shared" ref="AMC27" ca="1" si="8676">IFERROR(MATCH(AMC12,ALT27:ALW27,0),0)</f>
        <v>0</v>
      </c>
      <c r="AMD27" s="326">
        <f t="shared" ref="AMD27" ca="1" si="8677">IFERROR(MATCH(AMD12,ALT27:ALW27,0),0)</f>
        <v>1</v>
      </c>
      <c r="AME27" s="326">
        <f t="shared" ref="AME27" ca="1" si="8678">IFERROR(MATCH(AME12,ALT27:ALW27,0),0)</f>
        <v>4</v>
      </c>
      <c r="AMF27" s="326">
        <f t="shared" ref="AMF27" ca="1" si="8679">IFERROR(MATCH(AMF12,ALT27:ALW27,0),0)</f>
        <v>3</v>
      </c>
      <c r="AMG27" s="326">
        <f t="shared" ca="1" si="3896"/>
        <v>8</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103</v>
      </c>
      <c r="AQS27" s="325" t="s">
        <v>104</v>
      </c>
      <c r="AQT27" s="325" t="s">
        <v>105</v>
      </c>
      <c r="AQU27" s="325" t="s">
        <v>106</v>
      </c>
      <c r="AQV27" s="324" t="s">
        <v>106</v>
      </c>
      <c r="AQW27" s="324" t="s">
        <v>105</v>
      </c>
      <c r="AQX27" s="324" t="s">
        <v>104</v>
      </c>
      <c r="AQY27" s="324" t="s">
        <v>103</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103</v>
      </c>
      <c r="AVQ27" s="325" t="s">
        <v>104</v>
      </c>
      <c r="AVR27" s="325" t="s">
        <v>105</v>
      </c>
      <c r="AVS27" s="325" t="s">
        <v>106</v>
      </c>
      <c r="AVT27" s="324" t="s">
        <v>106</v>
      </c>
      <c r="AVU27" s="324" t="s">
        <v>105</v>
      </c>
      <c r="AVV27" s="324" t="s">
        <v>104</v>
      </c>
      <c r="AVW27" s="324" t="s">
        <v>103</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103</v>
      </c>
      <c r="BAO27" s="325" t="s">
        <v>104</v>
      </c>
      <c r="BAP27" s="325" t="s">
        <v>105</v>
      </c>
      <c r="BAQ27" s="325" t="s">
        <v>106</v>
      </c>
      <c r="BAR27" s="324" t="s">
        <v>106</v>
      </c>
      <c r="BAS27" s="324" t="s">
        <v>105</v>
      </c>
      <c r="BAT27" s="324" t="s">
        <v>104</v>
      </c>
      <c r="BAU27" s="324" t="s">
        <v>103</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103</v>
      </c>
      <c r="BFM27" s="325" t="s">
        <v>104</v>
      </c>
      <c r="BFN27" s="325" t="s">
        <v>105</v>
      </c>
      <c r="BFO27" s="325" t="s">
        <v>106</v>
      </c>
      <c r="BFP27" s="324" t="s">
        <v>106</v>
      </c>
      <c r="BFQ27" s="324" t="s">
        <v>105</v>
      </c>
      <c r="BFR27" s="324" t="s">
        <v>104</v>
      </c>
      <c r="BFS27" s="324" t="s">
        <v>103</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1</v>
      </c>
      <c r="B28" s="319" t="str">
        <f>'Language Table'!C13</f>
        <v>France</v>
      </c>
      <c r="C28" s="319">
        <f>SUMPRODUCT((CZ3:CZ42=B28)*(DD3:DD42="W"))+SUMPRODUCT((DC3:DC42=B28)*(DE3:DE42="W"))</f>
        <v>1</v>
      </c>
      <c r="D28" s="319">
        <f>SUMPRODUCT((CZ3:CZ42=B28)*(DD3:DD42="D"))+SUMPRODUCT((DC3:DC42=B28)*(DE3:DE42="D"))</f>
        <v>0</v>
      </c>
      <c r="E28" s="319">
        <f>SUMPRODUCT((CZ3:CZ42=B28)*(DD3:DD42="L"))+SUMPRODUCT((DC3:DC42=B28)*(DE3:DE42="L"))</f>
        <v>0</v>
      </c>
      <c r="F28" s="319">
        <f>SUMIF(CZ3:CZ60,B28,DA3:DA60)+SUMIF(DC3:DC60,B28,DB3:DB60)</f>
        <v>1</v>
      </c>
      <c r="G28" s="319">
        <f>SUMIF(DC3:DC60,B28,DA3:DA60)+SUMIF(CZ3:CZ60,B28,DB3:DB60)</f>
        <v>0</v>
      </c>
      <c r="H28" s="319">
        <f t="shared" si="7443"/>
        <v>1001</v>
      </c>
      <c r="I28" s="319">
        <f t="shared" si="7444"/>
        <v>3</v>
      </c>
      <c r="J28" s="319">
        <v>52</v>
      </c>
      <c r="K28" s="319">
        <f>IF(COUNTIF(I25:I29,4)&lt;&gt;4,RANK(I28,I25:I29),I68)</f>
        <v>1</v>
      </c>
      <c r="L28" s="319"/>
      <c r="M28" s="319">
        <f>SUMPRODUCT((K25:K28=K28)*(J25:J28&lt;J28))+K28</f>
        <v>3</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104</v>
      </c>
      <c r="DW28" s="319" t="str">
        <f>VLOOKUP(1,A25:B28,2,FALSE)</f>
        <v>France</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9</v>
      </c>
      <c r="EE28" s="319">
        <f ca="1">SUMIF(IA3:IA60,DZ28,HY3:HY60)+SUMIF(HX3:HX60,DZ28,HZ3:HZ60)</f>
        <v>4</v>
      </c>
      <c r="EF28" s="319">
        <f t="shared" ca="1" si="7447"/>
        <v>1005</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Poland</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Poland</v>
      </c>
      <c r="HV28" s="319">
        <v>4</v>
      </c>
      <c r="HW28" s="319">
        <v>26</v>
      </c>
      <c r="HX28" s="319" t="str">
        <f t="shared" si="164"/>
        <v>Scotland</v>
      </c>
      <c r="HY28" s="322">
        <f ca="1">IF(OFFSET('Player Game Board'!P35,0,HY1)&lt;&gt;"",OFFSET('Player Game Board'!P35,0,HY1),0)</f>
        <v>3</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104</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4</v>
      </c>
      <c r="JC28" s="319">
        <f ca="1">SUMIF(MY3:MY60,IX28,MW3:MW60)+SUMIF(MV3:MV60,IX28,MX3:MX60)</f>
        <v>1</v>
      </c>
      <c r="JD28" s="319">
        <f t="shared" ca="1" si="7451"/>
        <v>1003</v>
      </c>
      <c r="JE28" s="319">
        <f t="shared" ca="1" si="7452"/>
        <v>7</v>
      </c>
      <c r="JF28" s="319">
        <f t="shared" si="618"/>
        <v>52</v>
      </c>
      <c r="JG28" s="319">
        <f ca="1">IF(COUNTIF(JE25:JE29,4)&lt;&gt;4,RANK(JE28,JE25:JE29),JE68)</f>
        <v>1</v>
      </c>
      <c r="JH28" s="319"/>
      <c r="JI28" s="319">
        <f ca="1">SUMPRODUCT((JG25:JG28=JG28)*(JF25:JF28&lt;JF28))+JG28</f>
        <v>1</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1</v>
      </c>
      <c r="MY28" s="319" t="str">
        <f t="shared" si="171"/>
        <v>Hungary</v>
      </c>
      <c r="MZ28" s="319" t="str">
        <f ca="1">IF(AND(OFFSET('Player Game Board'!P35,0,MW1)&lt;&gt;"",OFFSET('Player Game Board'!Q35,0,MW1)&lt;&gt;""),IF(MW28&gt;MX28,"W",IF(MW28=MX28,"D","L")),"")</f>
        <v>D</v>
      </c>
      <c r="NA28" s="319" t="str">
        <f t="shared" ca="1" si="172"/>
        <v>D</v>
      </c>
      <c r="NB28" s="319"/>
      <c r="NC28" s="319"/>
      <c r="ND28" s="319"/>
      <c r="NE28" s="320"/>
      <c r="NF28" s="320"/>
      <c r="NG28" s="320"/>
      <c r="NH28" s="320"/>
      <c r="NI28" s="320"/>
      <c r="NJ28" s="320"/>
      <c r="NK28" s="320"/>
      <c r="NL28" s="319"/>
      <c r="NM28" s="319"/>
      <c r="NN28" s="319"/>
      <c r="NO28" s="319"/>
      <c r="NP28" s="319"/>
      <c r="NQ28" s="319"/>
      <c r="NR28" s="319" t="s">
        <v>104</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3</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2</v>
      </c>
      <c r="OB28" s="319">
        <f t="shared" ca="1" si="7462"/>
        <v>1004</v>
      </c>
      <c r="OC28" s="319">
        <f t="shared" ca="1" si="7463"/>
        <v>9</v>
      </c>
      <c r="OD28" s="319">
        <f t="shared" si="630"/>
        <v>52</v>
      </c>
      <c r="OE28" s="319">
        <f t="shared" ref="OE28" ca="1" si="8969">IF(COUNTIF(OC25:OC29,4)&lt;&gt;4,RANK(OC28,OC25:OC29),OC68)</f>
        <v>1</v>
      </c>
      <c r="OF28" s="319"/>
      <c r="OG28" s="319">
        <f t="shared" ref="OG28" ca="1" si="8970">SUMPRODUCT((OE25:OE28=OE28)*(OD25:OD28&lt;OD28))+OE28</f>
        <v>1</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1</v>
      </c>
      <c r="RW28" s="319" t="str">
        <f t="shared" si="19"/>
        <v>Hungary</v>
      </c>
      <c r="RX28" s="319" t="str">
        <f ca="1">IF(AND(OFFSET('Player Game Board'!P35,0,RU1)&lt;&gt;"",OFFSET('Player Game Board'!Q35,0,RU1)&lt;&gt;""),IF(RU28&gt;RV28,"W",IF(RU28=RV28,"D","L")),"")</f>
        <v>L</v>
      </c>
      <c r="RY28" s="319" t="str">
        <f t="shared" ca="1" si="5500"/>
        <v>W</v>
      </c>
      <c r="RZ28" s="319"/>
      <c r="SA28" s="319"/>
      <c r="SB28" s="319"/>
      <c r="SC28" s="320"/>
      <c r="SD28" s="320"/>
      <c r="SE28" s="320"/>
      <c r="SF28" s="320"/>
      <c r="SG28" s="320"/>
      <c r="SH28" s="320"/>
      <c r="SI28" s="320"/>
      <c r="SJ28" s="319"/>
      <c r="SK28" s="319"/>
      <c r="SL28" s="319"/>
      <c r="SM28" s="319"/>
      <c r="SN28" s="319"/>
      <c r="SO28" s="319"/>
      <c r="SP28" s="319" t="s">
        <v>104</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5</v>
      </c>
      <c r="SY28" s="319">
        <f t="shared" ref="SY28" ca="1" si="9045">SUMIF(WU3:WU60,ST28,WS3:WS60)+SUMIF(WR3:WR60,ST28,WT3:WT60)</f>
        <v>1</v>
      </c>
      <c r="SZ28" s="319">
        <f t="shared" ca="1" si="7504"/>
        <v>1004</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1</v>
      </c>
      <c r="WT28" s="322">
        <f ca="1">IF(OFFSET('Player Game Board'!Q35,0,WS1)&lt;&gt;"",OFFSET('Player Game Board'!Q35,0,WS1),0)</f>
        <v>0</v>
      </c>
      <c r="WU28" s="319" t="str">
        <f t="shared" si="35"/>
        <v>Hungary</v>
      </c>
      <c r="WV28" s="319" t="str">
        <f ca="1">IF(AND(OFFSET('Player Game Board'!P35,0,WS1)&lt;&gt;"",OFFSET('Player Game Board'!Q35,0,WS1)&lt;&gt;""),IF(WS28&gt;WT28,"W",IF(WS28=WT28,"D","L")),"")</f>
        <v>W</v>
      </c>
      <c r="WW28" s="319" t="str">
        <f t="shared" ca="1" si="5555"/>
        <v>L</v>
      </c>
      <c r="WX28" s="319"/>
      <c r="WY28" s="319"/>
      <c r="WZ28" s="319"/>
      <c r="XA28" s="320"/>
      <c r="XB28" s="320"/>
      <c r="XC28" s="320"/>
      <c r="XD28" s="320"/>
      <c r="XE28" s="320"/>
      <c r="XF28" s="320"/>
      <c r="XG28" s="320"/>
      <c r="XH28" s="319"/>
      <c r="XI28" s="319"/>
      <c r="XJ28" s="319"/>
      <c r="XK28" s="319"/>
      <c r="XL28" s="319"/>
      <c r="XM28" s="319"/>
      <c r="XN28" s="319" t="s">
        <v>104</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Poland</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Poland</v>
      </c>
      <c r="ABN28" s="319">
        <v>4</v>
      </c>
      <c r="ABO28" s="319">
        <v>26</v>
      </c>
      <c r="ABP28" s="319" t="str">
        <f t="shared" si="50"/>
        <v>Scotland</v>
      </c>
      <c r="ABQ28" s="322">
        <f ca="1">IF(OFFSET('Player Game Board'!P35,0,ABQ1)&lt;&gt;"",OFFSET('Player Game Board'!P35,0,ABQ1),0)</f>
        <v>2</v>
      </c>
      <c r="ABR28" s="322">
        <f ca="1">IF(OFFSET('Player Game Board'!Q35,0,ABQ1)&lt;&gt;"",OFFSET('Player Game Board'!Q35,0,ABQ1),0)</f>
        <v>1</v>
      </c>
      <c r="ABS28" s="319" t="str">
        <f t="shared" si="51"/>
        <v>Hungary</v>
      </c>
      <c r="ABT28" s="319" t="str">
        <f ca="1">IF(AND(OFFSET('Player Game Board'!P35,0,ABQ1)&lt;&gt;"",OFFSET('Player Game Board'!Q35,0,ABQ1)&lt;&gt;""),IF(ABQ28&gt;ABR28,"W",IF(ABQ28=ABR28,"D","L")),"")</f>
        <v>W</v>
      </c>
      <c r="ABU28" s="319" t="str">
        <f t="shared" ca="1" si="5610"/>
        <v>L</v>
      </c>
      <c r="ABV28" s="319"/>
      <c r="ABW28" s="319"/>
      <c r="ABX28" s="319"/>
      <c r="ABY28" s="320"/>
      <c r="ABZ28" s="320"/>
      <c r="ACA28" s="320"/>
      <c r="ACB28" s="320"/>
      <c r="ACC28" s="320"/>
      <c r="ACD28" s="320"/>
      <c r="ACE28" s="320"/>
      <c r="ACF28" s="319"/>
      <c r="ACG28" s="319"/>
      <c r="ACH28" s="319"/>
      <c r="ACI28" s="319"/>
      <c r="ACJ28" s="319"/>
      <c r="ACK28" s="319"/>
      <c r="ACL28" s="319" t="s">
        <v>104</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0</v>
      </c>
      <c r="ACS28" s="319">
        <f t="shared" ref="ACS28" ca="1" si="9197">SUMPRODUCT((AGN3:AGN42=ACP28)*(AGR3:AGR42="L"))+SUMPRODUCT((AGQ3:AGQ42=ACP28)*(AGS3:AGS42="L"))</f>
        <v>1</v>
      </c>
      <c r="ACT28" s="319">
        <f t="shared" ref="ACT28" ca="1" si="9198">SUMIF(AGN3:AGN60,ACP28,AGO3:AGO60)+SUMIF(AGQ3:AGQ60,ACP28,AGP3:AGP60)</f>
        <v>6</v>
      </c>
      <c r="ACU28" s="319">
        <f t="shared" ref="ACU28" ca="1" si="9199">SUMIF(AGQ3:AGQ60,ACP28,AGO3:AGO60)+SUMIF(AGN3:AGN60,ACP28,AGP3:AGP60)</f>
        <v>3</v>
      </c>
      <c r="ACV28" s="319">
        <f t="shared" ca="1" si="7588"/>
        <v>1003</v>
      </c>
      <c r="ACW28" s="319">
        <f t="shared" ca="1" si="7589"/>
        <v>6</v>
      </c>
      <c r="ACX28" s="319">
        <f t="shared" si="810"/>
        <v>52</v>
      </c>
      <c r="ACY28" s="319">
        <f t="shared" ref="ACY28" ca="1" si="9200">IF(COUNTIF(ACW25:ACW29,4)&lt;&gt;4,RANK(ACW28,ACW25:ACW29),ACW68)</f>
        <v>2</v>
      </c>
      <c r="ACZ28" s="319"/>
      <c r="ADA28" s="319">
        <f t="shared" ref="ADA28" ca="1" si="9201">SUMPRODUCT((ACY25:ACY28=ACY28)*(ACX25:ACX28&lt;ACX28))+ACY28</f>
        <v>2</v>
      </c>
      <c r="ADB28" s="319" t="str">
        <f t="shared" ref="ADB28" ca="1" si="9202">INDEX(ACP25:ACP29,MATCH(4,ADA25:ADA29,0),0)</f>
        <v>Poland</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2</v>
      </c>
      <c r="AGP28" s="322">
        <f ca="1">IF(OFFSET('Player Game Board'!Q35,0,AGO1)&lt;&gt;"",OFFSET('Player Game Board'!Q35,0,AGO1),0)</f>
        <v>1</v>
      </c>
      <c r="AGQ28" s="319" t="str">
        <f t="shared" si="67"/>
        <v>Hungary</v>
      </c>
      <c r="AGR28" s="319" t="str">
        <f ca="1">IF(AND(OFFSET('Player Game Board'!P35,0,AGO1)&lt;&gt;"",OFFSET('Player Game Board'!Q35,0,AGO1)&lt;&gt;""),IF(AGO28&gt;AGP28,"W",IF(AGO28=AGP28,"D","L")),"")</f>
        <v>W</v>
      </c>
      <c r="AGS28" s="319" t="str">
        <f t="shared" ca="1" si="5665"/>
        <v>L</v>
      </c>
      <c r="AGT28" s="319"/>
      <c r="AGU28" s="319"/>
      <c r="AGV28" s="319"/>
      <c r="AGW28" s="320"/>
      <c r="AGX28" s="320"/>
      <c r="AGY28" s="320"/>
      <c r="AGZ28" s="320"/>
      <c r="AHA28" s="320"/>
      <c r="AHB28" s="320"/>
      <c r="AHC28" s="320"/>
      <c r="AHD28" s="319"/>
      <c r="AHE28" s="319"/>
      <c r="AHF28" s="319"/>
      <c r="AHG28" s="319"/>
      <c r="AHH28" s="319"/>
      <c r="AHI28" s="319"/>
      <c r="AHJ28" s="319" t="s">
        <v>104</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4</v>
      </c>
      <c r="AHS28" s="319">
        <f t="shared" ref="AHS28" ca="1" si="9276">SUMIF(ALO3:ALO60,AHN28,ALM3:ALM60)+SUMIF(ALL3:ALL60,AHN28,ALN3:ALN60)</f>
        <v>0</v>
      </c>
      <c r="AHT28" s="319">
        <f t="shared" ca="1" si="7630"/>
        <v>1004</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Austria</v>
      </c>
      <c r="AIA28" s="319">
        <f t="shared" ref="AIA28" ca="1" si="9280">INDEX(AHW25:AHW29,MATCH(AHZ28,AHN25:AHN29,0),0)</f>
        <v>3</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Austria</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19">
        <f t="shared" ca="1" si="8661"/>
        <v>1000</v>
      </c>
      <c r="AKB28" s="319">
        <f t="shared" ca="1" si="8662"/>
        <v>1</v>
      </c>
      <c r="AKC28" s="319">
        <f t="shared" ref="AKC28" ca="1" si="9316">IF(AJU28&lt;&gt;"",VLOOKUP(AJU28,AHN4:AHT40,7,FALSE),"")</f>
        <v>996</v>
      </c>
      <c r="AKD28" s="319">
        <f t="shared" ref="AKD28" ca="1" si="9317">IF(AJU28&lt;&gt;"",VLOOKUP(AJU28,AHN4:AHT40,5,FALSE),"")</f>
        <v>2</v>
      </c>
      <c r="AKE28" s="319">
        <f t="shared" ref="AKE28" ca="1" si="9318">IF(AJU28&lt;&gt;"",VLOOKUP(AJU28,AHN4:AHV40,9,FALSE),"")</f>
        <v>41</v>
      </c>
      <c r="AKF28" s="319">
        <f t="shared" ca="1" si="8666"/>
        <v>1</v>
      </c>
      <c r="AKG28" s="319">
        <f t="shared" ref="AKG28" ca="1" si="9319">IF(AJU28&lt;&gt;"",RANK(AKF28,AKF25:AKF29),"")</f>
        <v>1</v>
      </c>
      <c r="AKH28" s="319">
        <f t="shared" ref="AKH28" ca="1" si="9320">IF(AJU28&lt;&gt;"",SUMPRODUCT((AKF25:AKF29=AKF28)*(AKA25:AKA29&gt;AKA28)),"")</f>
        <v>0</v>
      </c>
      <c r="AKI28" s="319">
        <f t="shared" ref="AKI28" ca="1" si="9321">IF(AJU28&lt;&gt;"",SUMPRODUCT((AKF25:AKF29=AKF28)*(AKA25:AKA29=AKA28)*(AJY25:AJY29&gt;AJY28)),"")</f>
        <v>0</v>
      </c>
      <c r="AKJ28" s="319">
        <f t="shared" ref="AKJ28" ca="1" si="9322">IF(AJU28&lt;&gt;"",SUMPRODUCT((AKF25:AKF29=AKF28)*(AKA25:AKA29=AKA28)*(AJY25:AJY29=AJY28)*(AKC25:AKC29&gt;AKC28)),"")</f>
        <v>1</v>
      </c>
      <c r="AKK28" s="319">
        <f t="shared" ref="AKK28" ca="1" si="9323">IF(AJU28&lt;&gt;"",SUMPRODUCT((AKF25:AKF29=AKF28)*(AKA25:AKA29=AKA28)*(AJY25:AJY29=AJY28)*(AKC25:AKC29=AKC28)*(AKD25:AKD29&gt;AKD28)),"")</f>
        <v>0</v>
      </c>
      <c r="AKL28" s="319">
        <f t="shared" ref="AKL28" ca="1" si="9324">IF(AJU28&lt;&gt;"",SUMPRODUCT((AKF25:AKF29=AKF28)*(AKA25:AKA29=AKA28)*(AJY25:AJY29=AJY28)*(AKC25:AKC29=AKC28)*(AKD25:AKD29=AKD28)*(AKE25:AKE29&gt;AKE28)),"")</f>
        <v>0</v>
      </c>
      <c r="AKM28" s="319">
        <f t="shared" ca="1" si="8673"/>
        <v>4</v>
      </c>
      <c r="AKN28" s="319" t="str">
        <f t="shared" ref="AKN28" ca="1" si="9325">IF(AJU28&lt;&gt;"",INDEX(AJU27:AJU29,MATCH(4,AKM27:AKM29,0),0),"")</f>
        <v>Austria</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Austria</v>
      </c>
      <c r="ALJ28" s="319">
        <v>4</v>
      </c>
      <c r="ALK28" s="319">
        <v>26</v>
      </c>
      <c r="ALL28" s="319" t="str">
        <f t="shared" si="82"/>
        <v>Scotland</v>
      </c>
      <c r="ALM28" s="322">
        <f ca="1">IF(OFFSET('Player Game Board'!P35,0,ALM1)&lt;&gt;"",OFFSET('Player Game Board'!P35,0,ALM1),0)</f>
        <v>1</v>
      </c>
      <c r="ALN28" s="322">
        <f ca="1">IF(OFFSET('Player Game Board'!Q35,0,ALM1)&lt;&gt;"",OFFSET('Player Game Board'!Q35,0,ALM1),0)</f>
        <v>1</v>
      </c>
      <c r="ALO28" s="319" t="str">
        <f t="shared" si="83"/>
        <v>Hungary</v>
      </c>
      <c r="ALP28" s="319" t="str">
        <f ca="1">IF(AND(OFFSET('Player Game Board'!P35,0,ALM1)&lt;&gt;"",OFFSET('Player Game Board'!Q35,0,ALM1)&lt;&gt;""),IF(ALM28&gt;ALN28,"W",IF(ALM28=ALN28,"D","L")),"")</f>
        <v>D</v>
      </c>
      <c r="ALQ28" s="319" t="str">
        <f t="shared" ca="1" si="5720"/>
        <v>D</v>
      </c>
      <c r="ALR28" s="319"/>
      <c r="ALS28" s="319"/>
      <c r="ALT28" s="319"/>
      <c r="ALU28" s="320"/>
      <c r="ALV28" s="320"/>
      <c r="ALW28" s="320"/>
      <c r="ALX28" s="320"/>
      <c r="ALY28" s="320"/>
      <c r="ALZ28" s="320"/>
      <c r="AMA28" s="320"/>
      <c r="AMB28" s="319"/>
      <c r="AMC28" s="319"/>
      <c r="AMD28" s="319"/>
      <c r="AME28" s="319"/>
      <c r="AMF28" s="319"/>
      <c r="AMG28" s="319"/>
      <c r="AMH28" s="319" t="s">
        <v>104</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104</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104</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104</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104</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Netherlands</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4</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2</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Poland</v>
      </c>
      <c r="NT29" s="325">
        <f t="shared" ca="1" si="5052"/>
        <v>0</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2</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5</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3</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4</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105</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2</v>
      </c>
      <c r="HZ30" s="322">
        <f ca="1">IF(OFFSET('Player Game Board'!Q37,0,HY1)&lt;&gt;"",OFFSET('Player Game Board'!Q37,0,HY1),0)</f>
        <v>3</v>
      </c>
      <c r="IA30" s="319" t="str">
        <f t="shared" si="165"/>
        <v>Italy</v>
      </c>
      <c r="IB30" s="319" t="str">
        <f ca="1">IF(AND(OFFSET('Player Game Board'!P37,0,HY1)&lt;&gt;"",OFFSET('Player Game Board'!Q37,0,HY1)&lt;&gt;""),IF(HY30&gt;HZ30,"W",IF(HY30=HZ30,"D","L")),"")</f>
        <v>L</v>
      </c>
      <c r="IC30" s="319" t="str">
        <f t="shared" ca="1" si="166"/>
        <v>W</v>
      </c>
      <c r="ID30" s="319"/>
      <c r="IE30" s="319"/>
      <c r="IF30" s="319"/>
      <c r="IG30" s="320"/>
      <c r="IH30" s="320"/>
      <c r="II30" s="320"/>
      <c r="IJ30" s="320"/>
      <c r="IK30" s="320"/>
      <c r="IL30" s="320"/>
      <c r="IM30" s="320"/>
      <c r="IN30" s="319"/>
      <c r="IO30" s="319"/>
      <c r="IP30" s="319"/>
      <c r="IQ30" s="319"/>
      <c r="IR30" s="319"/>
      <c r="IS30" s="319"/>
      <c r="IT30" s="319" t="s">
        <v>105</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105</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1</v>
      </c>
      <c r="RV30" s="322">
        <f ca="1">IF(OFFSET('Player Game Board'!Q37,0,RU1)&lt;&gt;"",OFFSET('Player Game Board'!Q37,0,RU1),0)</f>
        <v>2</v>
      </c>
      <c r="RW30" s="319" t="str">
        <f t="shared" si="19"/>
        <v>Italy</v>
      </c>
      <c r="RX30" s="319" t="str">
        <f ca="1">IF(AND(OFFSET('Player Game Board'!P37,0,RU1)&lt;&gt;"",OFFSET('Player Game Board'!Q37,0,RU1)&lt;&gt;""),IF(RU30&gt;RV30,"W",IF(RU30=RV30,"D","L")),"")</f>
        <v>L</v>
      </c>
      <c r="RY30" s="319" t="str">
        <f t="shared" ca="1" si="5500"/>
        <v>W</v>
      </c>
      <c r="RZ30" s="319"/>
      <c r="SA30" s="319"/>
      <c r="SB30" s="319"/>
      <c r="SC30" s="320"/>
      <c r="SD30" s="320"/>
      <c r="SE30" s="320"/>
      <c r="SF30" s="320"/>
      <c r="SG30" s="320"/>
      <c r="SH30" s="320"/>
      <c r="SI30" s="320"/>
      <c r="SJ30" s="319"/>
      <c r="SK30" s="319"/>
      <c r="SL30" s="319"/>
      <c r="SM30" s="319"/>
      <c r="SN30" s="319"/>
      <c r="SO30" s="319"/>
      <c r="SP30" s="319" t="s">
        <v>105</v>
      </c>
      <c r="SQ30" s="319" t="str">
        <f t="shared" ref="SQ30" ca="1" si="9675">VLOOKUP(1,NU31:NV34,2,FALSE)</f>
        <v>Romania</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2</v>
      </c>
      <c r="WU30" s="319" t="str">
        <f t="shared" si="35"/>
        <v>Italy</v>
      </c>
      <c r="WV30" s="319" t="str">
        <f ca="1">IF(AND(OFFSET('Player Game Board'!P37,0,WS1)&lt;&gt;"",OFFSET('Player Game Board'!Q37,0,WS1)&lt;&gt;""),IF(WS30&gt;WT30,"W",IF(WS30=WT30,"D","L")),"")</f>
        <v>L</v>
      </c>
      <c r="WW30" s="319" t="str">
        <f t="shared" ca="1" si="5555"/>
        <v>W</v>
      </c>
      <c r="WX30" s="319"/>
      <c r="WY30" s="319"/>
      <c r="WZ30" s="319"/>
      <c r="XA30" s="320"/>
      <c r="XB30" s="320"/>
      <c r="XC30" s="320"/>
      <c r="XD30" s="320"/>
      <c r="XE30" s="320"/>
      <c r="XF30" s="320"/>
      <c r="XG30" s="320"/>
      <c r="XH30" s="319"/>
      <c r="XI30" s="319"/>
      <c r="XJ30" s="319"/>
      <c r="XK30" s="319"/>
      <c r="XL30" s="319"/>
      <c r="XM30" s="319"/>
      <c r="XN30" s="319" t="s">
        <v>105</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1</v>
      </c>
      <c r="ABR30" s="322">
        <f ca="1">IF(OFFSET('Player Game Board'!Q37,0,ABQ1)&lt;&gt;"",OFFSET('Player Game Board'!Q37,0,ABQ1),0)</f>
        <v>1</v>
      </c>
      <c r="ABS30" s="319" t="str">
        <f t="shared" si="51"/>
        <v>Italy</v>
      </c>
      <c r="ABT30" s="319" t="str">
        <f ca="1">IF(AND(OFFSET('Player Game Board'!P37,0,ABQ1)&lt;&gt;"",OFFSET('Player Game Board'!Q37,0,ABQ1)&lt;&gt;""),IF(ABQ30&gt;ABR30,"W",IF(ABQ30=ABR30,"D","L")),"")</f>
        <v>D</v>
      </c>
      <c r="ABU30" s="319" t="str">
        <f t="shared" ca="1" si="5610"/>
        <v>D</v>
      </c>
      <c r="ABV30" s="319"/>
      <c r="ABW30" s="319"/>
      <c r="ABX30" s="319"/>
      <c r="ABY30" s="320"/>
      <c r="ABZ30" s="320"/>
      <c r="ACA30" s="320"/>
      <c r="ACB30" s="320"/>
      <c r="ACC30" s="320"/>
      <c r="ACD30" s="320"/>
      <c r="ACE30" s="320"/>
      <c r="ACF30" s="319"/>
      <c r="ACG30" s="319"/>
      <c r="ACH30" s="319"/>
      <c r="ACI30" s="319"/>
      <c r="ACJ30" s="319"/>
      <c r="ACK30" s="319"/>
      <c r="ACL30" s="319" t="s">
        <v>105</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1</v>
      </c>
      <c r="AGP30" s="322">
        <f ca="1">IF(OFFSET('Player Game Board'!Q37,0,AGO1)&lt;&gt;"",OFFSET('Player Game Board'!Q37,0,AGO1),0)</f>
        <v>2</v>
      </c>
      <c r="AGQ30" s="319" t="str">
        <f t="shared" si="67"/>
        <v>Italy</v>
      </c>
      <c r="AGR30" s="319" t="str">
        <f ca="1">IF(AND(OFFSET('Player Game Board'!P37,0,AGO1)&lt;&gt;"",OFFSET('Player Game Board'!Q37,0,AGO1)&lt;&gt;""),IF(AGO30&gt;AGP30,"W",IF(AGO30=AGP30,"D","L")),"")</f>
        <v>L</v>
      </c>
      <c r="AGS30" s="319" t="str">
        <f t="shared" ca="1" si="5665"/>
        <v>W</v>
      </c>
      <c r="AGT30" s="319"/>
      <c r="AGU30" s="319"/>
      <c r="AGV30" s="319"/>
      <c r="AGW30" s="320"/>
      <c r="AGX30" s="320"/>
      <c r="AGY30" s="320"/>
      <c r="AGZ30" s="320"/>
      <c r="AHA30" s="320"/>
      <c r="AHB30" s="320"/>
      <c r="AHC30" s="320"/>
      <c r="AHD30" s="319"/>
      <c r="AHE30" s="319"/>
      <c r="AHF30" s="319"/>
      <c r="AHG30" s="319"/>
      <c r="AHH30" s="319"/>
      <c r="AHI30" s="319"/>
      <c r="AHJ30" s="319" t="s">
        <v>105</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2</v>
      </c>
      <c r="ALN30" s="322">
        <f ca="1">IF(OFFSET('Player Game Board'!Q37,0,ALM1)&lt;&gt;"",OFFSET('Player Game Board'!Q37,0,ALM1),0)</f>
        <v>1</v>
      </c>
      <c r="ALO30" s="319" t="str">
        <f t="shared" si="83"/>
        <v>Italy</v>
      </c>
      <c r="ALP30" s="319" t="str">
        <f ca="1">IF(AND(OFFSET('Player Game Board'!P37,0,ALM1)&lt;&gt;"",OFFSET('Player Game Board'!Q37,0,ALM1)&lt;&gt;""),IF(ALM30&gt;ALN30,"W",IF(ALM30=ALN30,"D","L")),"")</f>
        <v>W</v>
      </c>
      <c r="ALQ30" s="319" t="str">
        <f t="shared" ca="1" si="5720"/>
        <v>L</v>
      </c>
      <c r="ALR30" s="319"/>
      <c r="ALS30" s="319"/>
      <c r="ALT30" s="319"/>
      <c r="ALU30" s="320"/>
      <c r="ALV30" s="320"/>
      <c r="ALW30" s="320"/>
      <c r="ALX30" s="320"/>
      <c r="ALY30" s="320"/>
      <c r="ALZ30" s="320"/>
      <c r="AMA30" s="320"/>
      <c r="AMB30" s="319"/>
      <c r="AMC30" s="319"/>
      <c r="AMD30" s="319"/>
      <c r="AME30" s="319"/>
      <c r="AMF30" s="319"/>
      <c r="AMG30" s="319"/>
      <c r="AMH30" s="319" t="s">
        <v>105</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105</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105</v>
      </c>
      <c r="AWE30" s="319" t="str">
        <f t="shared" ref="AWE30" ca="1" si="9687">VLOOKUP(1,ARI31:ARJ34,2,FALSE)</f>
        <v>Belgium</v>
      </c>
      <c r="AWF30" s="325">
        <f t="shared" ca="1" si="5353"/>
        <v>0</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105</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105</v>
      </c>
      <c r="BGA30" s="319" t="str">
        <f t="shared" ref="BGA30" ca="1" si="9691">VLOOKUP(1,BBE31:BBF34,2,FALSE)</f>
        <v>Belgium</v>
      </c>
      <c r="BGB30" s="325">
        <f t="shared" ca="1" si="5439"/>
        <v>0</v>
      </c>
    </row>
    <row r="31" spans="1:1536" ht="13.8" x14ac:dyDescent="0.3">
      <c r="A31" s="319">
        <f>VLOOKUP(B31,CW31:CX35,2,FALSE)</f>
        <v>4</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4</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1</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Ukraine</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10</v>
      </c>
      <c r="EE31" s="319">
        <f ca="1">SUMIF(IA3:IA60,DZ31,HY3:HY60)+SUMIF(HX3:HX60,DZ31,HZ3:HZ60)</f>
        <v>2</v>
      </c>
      <c r="EF31" s="319">
        <f t="shared" ref="EF31:EF34" ca="1" si="9696">ED31-EE31+1000</f>
        <v>1008</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Ukraine</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3</v>
      </c>
      <c r="JD31" s="319">
        <f t="shared" ref="JD31:JD34" ca="1" si="9700">JB31-JC31+1000</f>
        <v>1002</v>
      </c>
      <c r="JE31" s="319">
        <f t="shared" ref="JE31:JE34" ca="1" si="9701">IY31*3+IZ31*1</f>
        <v>7</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
      </c>
      <c r="JN31" s="319" t="str">
        <f ca="1">IF(JK34=3,JJ33,"")</f>
        <v>Slovakia</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1</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1</v>
      </c>
      <c r="NU31" s="319">
        <f t="shared" ref="NU31" ca="1" si="9704">VLOOKUP(NV31,RQ31:RR35,2,FALSE)</f>
        <v>3</v>
      </c>
      <c r="NV31" s="319" t="str">
        <f t="shared" ref="NV31:NV34" si="9705">IX31</f>
        <v>Belgium</v>
      </c>
      <c r="NW31" s="319">
        <f t="shared" ref="NW31" ca="1" si="9706">SUMPRODUCT((RT3:RT42=NV31)*(RX3:RX42="W"))+SUMPRODUCT((RW3:RW42=NV31)*(RY3:RY42="W"))</f>
        <v>0</v>
      </c>
      <c r="NX31" s="319">
        <f t="shared" ref="NX31" ca="1" si="9707">SUMPRODUCT((RT3:RT42=NV31)*(RX3:RX42="D"))+SUMPRODUCT((RW3:RW42=NV31)*(RY3:RY42="D"))</f>
        <v>2</v>
      </c>
      <c r="NY31" s="319">
        <f t="shared" ref="NY31" ca="1" si="9708">SUMPRODUCT((RT3:RT42=NV31)*(RX3:RX42="L"))+SUMPRODUCT((RW3:RW42=NV31)*(RY3:RY42="L"))</f>
        <v>1</v>
      </c>
      <c r="NZ31" s="319">
        <f t="shared" ref="NZ31" ca="1" si="9709">SUMIF(RT3:RT60,NV31,RU3:RU60)+SUMIF(RW3:RW60,NV31,RV3:RV60)</f>
        <v>0</v>
      </c>
      <c r="OA31" s="319">
        <f t="shared" ref="OA31" ca="1" si="9710">SUMIF(RW3:RW60,NV31,RU3:RU60)+SUMIF(RT3:RT60,NV31,RV3:RV60)</f>
        <v>1</v>
      </c>
      <c r="OB31" s="319">
        <f t="shared" ref="OB31:OB34" ca="1" si="9711">NZ31-OA31+1000</f>
        <v>999</v>
      </c>
      <c r="OC31" s="319">
        <f t="shared" ref="OC31:OC34" ca="1" si="9712">NW31*3+NX31*1</f>
        <v>2</v>
      </c>
      <c r="OD31" s="319">
        <f t="shared" si="630"/>
        <v>50</v>
      </c>
      <c r="OE31" s="319">
        <f t="shared" ref="OE31" ca="1" si="9713">IF(COUNTIF(OC31:OC35,4)&lt;&gt;4,RANK(OC31,OC31:OC35),OC71)</f>
        <v>3</v>
      </c>
      <c r="OF31" s="319"/>
      <c r="OG31" s="319">
        <f t="shared" ref="OG31" ca="1" si="9714">SUMPRODUCT((OE31:OE34=OE31)*(OD31:OD34&lt;OD31))+OE31</f>
        <v>3</v>
      </c>
      <c r="OH31" s="319" t="str">
        <f t="shared" ref="OH31" ca="1" si="9715">INDEX(NV31:NV35,MATCH(1,OG31:OG35,0),0)</f>
        <v>Romania</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Romania</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2</v>
      </c>
      <c r="SZ31" s="319">
        <f t="shared" ref="SZ31:SZ34" ca="1" si="9749">SX31-SY31+1000</f>
        <v>1006</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Ukraine</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3</v>
      </c>
      <c r="WT31" s="322">
        <f ca="1">IF(OFFSET('Player Game Board'!Q38,0,WS1)&lt;&gt;"",OFFSET('Player Game Board'!Q38,0,WS1),0)</f>
        <v>1</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9</v>
      </c>
      <c r="XW31" s="319">
        <f t="shared" ref="XW31" ca="1" si="9786">SUMIF(ABS3:ABS60,XR31,ABQ3:ABQ60)+SUMIF(ABP3:ABP60,XR31,ABR3:ABR60)</f>
        <v>2</v>
      </c>
      <c r="XX31" s="319">
        <f t="shared" ref="XX31:XX34" ca="1" si="9787">XV31-XW31+1000</f>
        <v>1007</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2</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1</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8</v>
      </c>
      <c r="ACU31" s="319">
        <f t="shared" ref="ACU31" ca="1" si="9824">SUMIF(AGQ3:AGQ60,ACP31,AGO3:AGO60)+SUMIF(AGN3:AGN60,ACP31,AGP3:AGP60)</f>
        <v>2</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Slovakia</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3</v>
      </c>
      <c r="AGP31" s="322">
        <f ca="1">IF(OFFSET('Player Game Board'!Q38,0,AGO1)&lt;&gt;"",OFFSET('Player Game Board'!Q38,0,AGO1),0)</f>
        <v>0</v>
      </c>
      <c r="AGQ31" s="319" t="str">
        <f t="shared" si="67"/>
        <v>Slovenia</v>
      </c>
      <c r="AGR31" s="319" t="str">
        <f ca="1">IF(AND(OFFSET('Player Game Board'!P38,0,AGO1)&lt;&gt;"",OFFSET('Player Game Board'!Q38,0,AGO1)&lt;&gt;""),IF(AGO31&gt;AGP31,"W",IF(AGO31=AGP31,"D","L")),"")</f>
        <v>W</v>
      </c>
      <c r="AGS31" s="319" t="str">
        <f t="shared" ca="1" si="5665"/>
        <v>L</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Ukraine</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3</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8</v>
      </c>
      <c r="AHS31" s="319">
        <f t="shared" ref="AHS31" ca="1" si="9862">SUMIF(ALO3:ALO60,AHN31,ALM3:ALM60)+SUMIF(ALL3:ALL60,AHN31,ALN3:ALN60)</f>
        <v>2</v>
      </c>
      <c r="AHT31" s="319">
        <f t="shared" ref="AHT31:AHT34" ca="1" si="9863">AHR31-AHS31+1000</f>
        <v>1006</v>
      </c>
      <c r="AHU31" s="319">
        <f t="shared" ref="AHU31:AHU34" ca="1" si="9864">AHO31*3+AHP31*1</f>
        <v>9</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Slovakia</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0</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Ukraine</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1</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999</v>
      </c>
      <c r="AB32" s="319">
        <f t="shared" si="9694"/>
        <v>0</v>
      </c>
      <c r="AC32" s="319">
        <f>IF(U32&lt;&gt;"",VLOOKUP(U32,B4:H40,7,FALSE),"")</f>
        <v>1000</v>
      </c>
      <c r="AD32" s="319">
        <f>IF(U32&lt;&gt;"",VLOOKUP(U32,B4:H40,5,FALSE),"")</f>
        <v>2</v>
      </c>
      <c r="AE32" s="319">
        <f>IF(U32&lt;&gt;"",VLOOKUP(U32,B4:J40,9,FALSE),"")</f>
        <v>38</v>
      </c>
      <c r="AF32" s="319">
        <f t="shared" si="9695"/>
        <v>0</v>
      </c>
      <c r="AG32" s="319">
        <f>IF(U32&lt;&gt;"",RANK(AF32,AF31:AF35),"")</f>
        <v>3</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Ukraine</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Ukraine</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106</v>
      </c>
      <c r="DW32" s="319" t="str">
        <f>VLOOKUP(1,A37:B40,2,FALSE)</f>
        <v>Türkiye</v>
      </c>
      <c r="DX32" s="319"/>
      <c r="DY32" s="319">
        <f ca="1">VLOOKUP(DZ32,HU31:HV35,2,FALSE)</f>
        <v>2</v>
      </c>
      <c r="DZ32" s="319" t="str">
        <f t="shared" ref="DZ32:DZ34" si="10049">B32</f>
        <v>Slovakia</v>
      </c>
      <c r="EA32" s="319">
        <f ca="1">SUMPRODUCT((HX3:HX42=DZ32)*(IB3:IB42="W"))+SUMPRODUCT((IA3:IA42=DZ32)*(IC3:IC42="W"))</f>
        <v>0</v>
      </c>
      <c r="EB32" s="319">
        <f ca="1">SUMPRODUCT((HX3:HX42=DZ32)*(IB3:IB42="D"))+SUMPRODUCT((IA3:IA42=DZ32)*(IC3:IC42="D"))</f>
        <v>2</v>
      </c>
      <c r="EC32" s="319">
        <f ca="1">SUMPRODUCT((HX3:HX42=DZ32)*(IB3:IB42="L"))+SUMPRODUCT((IA3:IA42=DZ32)*(IC3:IC42="L"))</f>
        <v>1</v>
      </c>
      <c r="ED32" s="319">
        <f ca="1">SUMIF(HX3:HX60,DZ32,HY3:HY60)+SUMIF(IA3:IA60,DZ32,HZ3:HZ60)</f>
        <v>3</v>
      </c>
      <c r="EE32" s="319">
        <f ca="1">SUMIF(IA3:IA60,DZ32,HY3:HY60)+SUMIF(HX3:HX60,DZ32,HZ3:HZ60)</f>
        <v>4</v>
      </c>
      <c r="EF32" s="319">
        <f t="shared" ca="1" si="9696"/>
        <v>999</v>
      </c>
      <c r="EG32" s="319">
        <f t="shared" ca="1" si="9697"/>
        <v>2</v>
      </c>
      <c r="EH32" s="319">
        <f t="shared" si="609"/>
        <v>38</v>
      </c>
      <c r="EI32" s="319">
        <f ca="1">IF(COUNTIF(EG31:EG35,4)&lt;&gt;4,RANK(EG32,EG31:EG35),EG72)</f>
        <v>2</v>
      </c>
      <c r="EJ32" s="319"/>
      <c r="EK32" s="319">
        <f ca="1">SUMPRODUCT((EI31:EI34=EI32)*(EH31:EH34&lt;EH32))+EI32</f>
        <v>3</v>
      </c>
      <c r="EL32" s="319" t="str">
        <f ca="1">INDEX(DZ31:DZ35,MATCH(2,EK31:EK35,0),0)</f>
        <v>Ukraine</v>
      </c>
      <c r="EM32" s="319">
        <f ca="1">INDEX(EI31:EI35,MATCH(EL32,DZ31:DZ35,0),0)</f>
        <v>2</v>
      </c>
      <c r="EN32" s="319" t="str">
        <f ca="1">IF(EN31&lt;&gt;"",EL32,"")</f>
        <v/>
      </c>
      <c r="EO32" s="319" t="str">
        <f ca="1">IF(EO31&lt;&gt;"",EL33,"")</f>
        <v>Slovakia</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Ukraine</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2</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19">
        <f ca="1">FQ32-FR32+1000</f>
        <v>1000</v>
      </c>
      <c r="FT32" s="319">
        <f t="shared" ref="FT32:FT34" ca="1" si="10051">IF(FM32&lt;&gt;"",FN32*3+FO32*1,"")</f>
        <v>2</v>
      </c>
      <c r="FU32" s="319">
        <f ca="1">IF(FM32&lt;&gt;"",VLOOKUP(FM32,DZ4:EF40,7,FALSE),"")</f>
        <v>997</v>
      </c>
      <c r="FV32" s="319">
        <f ca="1">IF(FM32&lt;&gt;"",VLOOKUP(FM32,DZ4:EF40,5,FALSE),"")</f>
        <v>2</v>
      </c>
      <c r="FW32" s="319">
        <f ca="1">IF(FM32&lt;&gt;"",VLOOKUP(FM32,DZ4:EH40,9,FALSE),"")</f>
        <v>0</v>
      </c>
      <c r="FX32" s="319">
        <f t="shared" ref="FX32:FX34" ca="1" si="10052">FT32</f>
        <v>2</v>
      </c>
      <c r="FY32" s="319">
        <f ca="1">IF(FM32&lt;&gt;"",RANK(FX32,FX31:FX35),"")</f>
        <v>1</v>
      </c>
      <c r="FZ32" s="319">
        <f ca="1">IF(FM32&lt;&gt;"",SUMPRODUCT((FX31:FX35=FX32)*(FS31:FS35&gt;FS32)),"")</f>
        <v>0</v>
      </c>
      <c r="GA32" s="319">
        <f ca="1">IF(FM32&lt;&gt;"",SUMPRODUCT((FX31:FX35=FX32)*(FS31:FS35=FS32)*(FQ31:FQ35&gt;FQ32)),"")</f>
        <v>0</v>
      </c>
      <c r="GB32" s="319">
        <f ca="1">IF(FM32&lt;&gt;"",SUMPRODUCT((FX31:FX35=FX32)*(FS31:FS35=FS32)*(FQ31:FQ35=FQ32)*(FU31:FU35&gt;FU32)),"")</f>
        <v>1</v>
      </c>
      <c r="GC32" s="319">
        <f ca="1">IF(FM32&lt;&gt;"",SUMPRODUCT((FX31:FX35=FX32)*(FS31:FS35=FS32)*(FQ31:FQ35=FQ32)*(FU31:FU35=FU32)*(FV31:FV35&gt;FV32)),"")</f>
        <v>0</v>
      </c>
      <c r="GD32" s="319">
        <f ca="1">IF(FM32&lt;&gt;"",SUMPRODUCT((FX31:FX35=FX32)*(FS31:FS35=FS32)*(FQ31:FQ35=FQ32)*(FU31:FU35=FU32)*(FV31:FV35=FV32)*(FW31:FW35&gt;FW32)),"")</f>
        <v>0</v>
      </c>
      <c r="GE32" s="319">
        <f ca="1">IF(FM32&lt;&gt;"",IF(GE72&lt;&gt;"",IF(FL70=3,GE72,GE72+FL70),SUM(FY32:GD32)+1),"")</f>
        <v>3</v>
      </c>
      <c r="GF32" s="319" t="str">
        <f ca="1">IF(FM32&lt;&gt;"",INDEX(FM32:FM35,MATCH(2,GE32:GE35,0),0),"")</f>
        <v>Slovakia</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3</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106</v>
      </c>
      <c r="IU32" s="319" t="str">
        <f ca="1">VLOOKUP(1,DY37:DZ40,2,FALSE)</f>
        <v>Portugal</v>
      </c>
      <c r="IV32" s="325">
        <f t="shared" ca="1" si="5047"/>
        <v>1</v>
      </c>
      <c r="IW32" s="319">
        <f ca="1">VLOOKUP(IX32,MS31:MT35,2,FALSE)</f>
        <v>4</v>
      </c>
      <c r="IX32" s="319" t="str">
        <f t="shared" ref="IX32:IX34" si="10053">DZ32</f>
        <v>Slovakia</v>
      </c>
      <c r="IY32" s="319">
        <f ca="1">SUMPRODUCT((MV3:MV42=IX32)*(MZ3:MZ42="W"))+SUMPRODUCT((MY3:MY42=IX32)*(NA3:NA42="W"))</f>
        <v>0</v>
      </c>
      <c r="IZ32" s="319">
        <f ca="1">SUMPRODUCT((MV3:MV42=IX32)*(MZ3:MZ42="D"))+SUMPRODUCT((MY3:MY42=IX32)*(NA3:NA42="D"))</f>
        <v>2</v>
      </c>
      <c r="JA32" s="319">
        <f ca="1">SUMPRODUCT((MV3:MV42=IX32)*(MZ3:MZ42="L"))+SUMPRODUCT((MY3:MY42=IX32)*(NA3:NA42="L"))</f>
        <v>1</v>
      </c>
      <c r="JB32" s="319">
        <f ca="1">SUMIF(MV3:MV60,IX32,MW3:MW60)+SUMIF(MY3:MY60,IX32,MX3:MX60)</f>
        <v>2</v>
      </c>
      <c r="JC32" s="319">
        <f ca="1">SUMIF(MY3:MY60,IX32,MW3:MW60)+SUMIF(MV3:MV60,IX32,MX3:MX60)</f>
        <v>3</v>
      </c>
      <c r="JD32" s="319">
        <f t="shared" ca="1" si="9700"/>
        <v>999</v>
      </c>
      <c r="JE32" s="319">
        <f t="shared" ca="1" si="9701"/>
        <v>2</v>
      </c>
      <c r="JF32" s="319">
        <f t="shared" si="618"/>
        <v>38</v>
      </c>
      <c r="JG32" s="319">
        <f ca="1">IF(COUNTIF(JE31:JE35,4)&lt;&gt;4,RANK(JE32,JE31:JE35),JE72)</f>
        <v>3</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
      </c>
      <c r="JN32" s="319" t="str">
        <f ca="1">IF(JN31&lt;&gt;"",JJ34,"")</f>
        <v>Romania</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1</v>
      </c>
      <c r="MX32" s="322">
        <f ca="1">IF(OFFSET('Player Game Board'!Q39,0,MW1)&lt;&gt;"",OFFSET('Player Game Board'!Q39,0,MW1),0)</f>
        <v>1</v>
      </c>
      <c r="MY32" s="319" t="str">
        <f t="shared" si="171"/>
        <v>Serbia</v>
      </c>
      <c r="MZ32" s="319" t="str">
        <f ca="1">IF(AND(OFFSET('Player Game Board'!P39,0,MW1)&lt;&gt;"",OFFSET('Player Game Board'!Q39,0,MW1)&lt;&gt;""),IF(MW32&gt;MX32,"W",IF(MW32=MX32,"D","L")),"")</f>
        <v>D</v>
      </c>
      <c r="NA32" s="319" t="str">
        <f t="shared" ca="1" si="172"/>
        <v>D</v>
      </c>
      <c r="NB32" s="319"/>
      <c r="NC32" s="319"/>
      <c r="ND32" s="319"/>
      <c r="NE32" s="320"/>
      <c r="NF32" s="320"/>
      <c r="NG32" s="320"/>
      <c r="NH32" s="320"/>
      <c r="NI32" s="320"/>
      <c r="NJ32" s="320"/>
      <c r="NK32" s="320"/>
      <c r="NL32" s="319"/>
      <c r="NM32" s="319"/>
      <c r="NN32" s="319"/>
      <c r="NO32" s="319"/>
      <c r="NP32" s="319"/>
      <c r="NQ32" s="319"/>
      <c r="NR32" s="319" t="s">
        <v>106</v>
      </c>
      <c r="NS32" s="319" t="str">
        <f ca="1">VLOOKUP(1,IW37:IX40,2,FALSE)</f>
        <v>Czechia</v>
      </c>
      <c r="NT32" s="325">
        <f t="shared" ca="1" si="5052"/>
        <v>0</v>
      </c>
      <c r="NU32" s="319">
        <f t="shared" ref="NU32" ca="1" si="10057">VLOOKUP(NV32,RQ31:RR35,2,FALSE)</f>
        <v>4</v>
      </c>
      <c r="NV32" s="319" t="str">
        <f t="shared" si="9705"/>
        <v>Slovakia</v>
      </c>
      <c r="NW32" s="319">
        <f t="shared" ref="NW32" ca="1" si="10058">SUMPRODUCT((RT3:RT42=NV32)*(RX3:RX42="W"))+SUMPRODUCT((RW3:RW42=NV32)*(RY3:RY42="W"))</f>
        <v>0</v>
      </c>
      <c r="NX32" s="319">
        <f t="shared" ref="NX32" ca="1" si="10059">SUMPRODUCT((RT3:RT42=NV32)*(RX3:RX42="D"))+SUMPRODUCT((RW3:RW42=NV32)*(RY3:RY42="D"))</f>
        <v>1</v>
      </c>
      <c r="NY32" s="319">
        <f t="shared" ref="NY32" ca="1" si="10060">SUMPRODUCT((RT3:RT42=NV32)*(RX3:RX42="L"))+SUMPRODUCT((RW3:RW42=NV32)*(RY3:RY42="L"))</f>
        <v>2</v>
      </c>
      <c r="NZ32" s="319">
        <f t="shared" ref="NZ32" ca="1" si="10061">SUMIF(RT3:RT60,NV32,RU3:RU60)+SUMIF(RW3:RW60,NV32,RV3:RV60)</f>
        <v>0</v>
      </c>
      <c r="OA32" s="319">
        <f t="shared" ref="OA32" ca="1" si="10062">SUMIF(RW3:RW60,NV32,RU3:RU60)+SUMIF(RT3:RT60,NV32,RV3:RV60)</f>
        <v>2</v>
      </c>
      <c r="OB32" s="319">
        <f t="shared" ca="1" si="9711"/>
        <v>998</v>
      </c>
      <c r="OC32" s="319">
        <f t="shared" ca="1" si="9712"/>
        <v>1</v>
      </c>
      <c r="OD32" s="319">
        <f t="shared" si="630"/>
        <v>38</v>
      </c>
      <c r="OE32" s="319">
        <f t="shared" ref="OE32" ca="1" si="10063">IF(COUNTIF(OC31:OC35,4)&lt;&gt;4,RANK(OC32,OC31:OC35),OC72)</f>
        <v>4</v>
      </c>
      <c r="OF32" s="319"/>
      <c r="OG32" s="319">
        <f t="shared" ref="OG32" ca="1" si="10064">SUMPRODUCT((OE31:OE34=OE32)*(OD31:OD34&lt;OD32))+OE32</f>
        <v>4</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D</v>
      </c>
      <c r="RY32" s="319" t="str">
        <f t="shared" ca="1" si="5500"/>
        <v>D</v>
      </c>
      <c r="RZ32" s="319"/>
      <c r="SA32" s="319"/>
      <c r="SB32" s="319"/>
      <c r="SC32" s="320"/>
      <c r="SD32" s="320"/>
      <c r="SE32" s="320"/>
      <c r="SF32" s="320"/>
      <c r="SG32" s="320"/>
      <c r="SH32" s="320"/>
      <c r="SI32" s="320"/>
      <c r="SJ32" s="319"/>
      <c r="SK32" s="319"/>
      <c r="SL32" s="319"/>
      <c r="SM32" s="319"/>
      <c r="SN32" s="319"/>
      <c r="SO32" s="319"/>
      <c r="SP32" s="319" t="s">
        <v>106</v>
      </c>
      <c r="SQ32" s="319" t="str">
        <f t="shared" ref="SQ32" ca="1" si="10106">VLOOKUP(1,NU37:NV40,2,FALSE)</f>
        <v>Türkiye</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3</v>
      </c>
      <c r="SX32" s="319">
        <f t="shared" ref="SX32" ca="1" si="10111">SUMIF(WR3:WR60,ST32,WS3:WS60)+SUMIF(WU3:WU60,ST32,WT3:WT60)</f>
        <v>1</v>
      </c>
      <c r="SY32" s="319">
        <f t="shared" ref="SY32" ca="1" si="10112">SUMIF(WU3:WU60,ST32,WS3:WS60)+SUMIF(WR3:WR60,ST32,WT3:WT60)</f>
        <v>5</v>
      </c>
      <c r="SZ32" s="319">
        <f t="shared" ca="1" si="9749"/>
        <v>996</v>
      </c>
      <c r="TA32" s="319">
        <f t="shared" ca="1" si="9750"/>
        <v>0</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Romania</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Ukraine</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f t="shared" ref="UN32:UN34" ca="1" si="10143">IF(UG32&lt;&gt;"",UH32*3+UI32*1,"")</f>
        <v>1</v>
      </c>
      <c r="UO32" s="319">
        <f t="shared" ref="UO32" ca="1" si="10144">IF(UG32&lt;&gt;"",VLOOKUP(UG32,ST4:SZ40,7,FALSE),"")</f>
        <v>999</v>
      </c>
      <c r="UP32" s="319">
        <f t="shared" ref="UP32" ca="1" si="10145">IF(UG32&lt;&gt;"",VLOOKUP(UG32,ST4:SZ40,5,FALSE),"")</f>
        <v>1</v>
      </c>
      <c r="UQ32" s="319">
        <f t="shared" ref="UQ32" ca="1" si="10146">IF(UG32&lt;&gt;"",VLOOKUP(UG32,ST4:TB40,9,FALSE),"")</f>
        <v>0</v>
      </c>
      <c r="UR32" s="319">
        <f t="shared" ref="UR32:UR34" ca="1" si="10147">UN32</f>
        <v>1</v>
      </c>
      <c r="US32" s="319">
        <f t="shared" ref="US32" ca="1" si="10148">IF(UG32&lt;&gt;"",RANK(UR32,UR31:UR35),"")</f>
        <v>1</v>
      </c>
      <c r="UT32" s="319">
        <f t="shared" ref="UT32" ca="1" si="10149">IF(UG32&lt;&gt;"",SUMPRODUCT((UR31:UR35=UR32)*(UM31:UM35&gt;UM32)),"")</f>
        <v>0</v>
      </c>
      <c r="UU32" s="319">
        <f t="shared" ref="UU32" ca="1" si="10150">IF(UG32&lt;&gt;"",SUMPRODUCT((UR31:UR35=UR32)*(UM31:UM35=UM32)*(UK31:UK35&gt;UK32)),"")</f>
        <v>0</v>
      </c>
      <c r="UV32" s="319">
        <f t="shared" ref="UV32" ca="1" si="10151">IF(UG32&lt;&gt;"",SUMPRODUCT((UR31:UR35=UR32)*(UM31:UM35=UM32)*(UK31:UK35=UK32)*(UO31:UO35&gt;UO32)),"")</f>
        <v>0</v>
      </c>
      <c r="UW32" s="319">
        <f t="shared" ref="UW32" ca="1" si="10152">IF(UG32&lt;&gt;"",SUMPRODUCT((UR31:UR35=UR32)*(UM31:UM35=UM32)*(UK31:UK35=UK32)*(UO31:UO35=UO32)*(UP31:UP35&gt;UP32)),"")</f>
        <v>1</v>
      </c>
      <c r="UX32" s="319">
        <f t="shared" ref="UX32" ca="1" si="10153">IF(UG32&lt;&gt;"",SUMPRODUCT((UR31:UR35=UR32)*(UM31:UM35=UM32)*(UK31:UK35=UK32)*(UO31:UO35=UO32)*(UP31:UP35=UP32)*(UQ31:UQ35&gt;UQ32)),"")</f>
        <v>0</v>
      </c>
      <c r="UY32" s="319">
        <f ca="1">IF(UG32&lt;&gt;"",IF(UY72&lt;&gt;"",IF(UF70=3,UY72,UY72+UF70),SUM(US32:UX32)+1),"")</f>
        <v>3</v>
      </c>
      <c r="UZ32" s="319" t="str">
        <f t="shared" ref="UZ32" ca="1" si="10154">IF(UG32&lt;&gt;"",INDEX(UG32:UG35,MATCH(2,UY32:UY35,0),0),"")</f>
        <v>Romania</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1</v>
      </c>
      <c r="WT32" s="322">
        <f ca="1">IF(OFFSET('Player Game Board'!Q39,0,WS1)&lt;&gt;"",OFFSET('Player Game Board'!Q39,0,WS1),0)</f>
        <v>0</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106</v>
      </c>
      <c r="XO32" s="319" t="str">
        <f t="shared" ref="XO32" ca="1" si="10156">VLOOKUP(1,SS37:ST40,2,FALSE)</f>
        <v>Portugal</v>
      </c>
      <c r="XP32" s="325">
        <f t="shared" ca="1" si="5138"/>
        <v>1</v>
      </c>
      <c r="XQ32" s="319">
        <f t="shared" ref="XQ32" ca="1" si="10157">VLOOKUP(XR32,ABM31:ABN35,2,FALSE)</f>
        <v>4</v>
      </c>
      <c r="XR32" s="319" t="str">
        <f t="shared" si="9781"/>
        <v>Slovakia</v>
      </c>
      <c r="XS32" s="319">
        <f t="shared" ref="XS32" ca="1" si="10158">SUMPRODUCT((ABP3:ABP42=XR32)*(ABT3:ABT42="W"))+SUMPRODUCT((ABS3:ABS42=XR32)*(ABU3:ABU42="W"))</f>
        <v>0</v>
      </c>
      <c r="XT32" s="319">
        <f t="shared" ref="XT32" ca="1" si="10159">SUMPRODUCT((ABP3:ABP42=XR32)*(ABT3:ABT42="D"))+SUMPRODUCT((ABS3:ABS42=XR32)*(ABU3:ABU42="D"))</f>
        <v>1</v>
      </c>
      <c r="XU32" s="319">
        <f t="shared" ref="XU32" ca="1" si="10160">SUMPRODUCT((ABP3:ABP42=XR32)*(ABT3:ABT42="L"))+SUMPRODUCT((ABS3:ABS42=XR32)*(ABU3:ABU42="L"))</f>
        <v>2</v>
      </c>
      <c r="XV32" s="319">
        <f t="shared" ref="XV32" ca="1" si="10161">SUMIF(ABP3:ABP60,XR32,ABQ3:ABQ60)+SUMIF(ABS3:ABS60,XR32,ABR3:ABR60)</f>
        <v>1</v>
      </c>
      <c r="XW32" s="319">
        <f t="shared" ref="XW32" ca="1" si="10162">SUMIF(ABS3:ABS60,XR32,ABQ3:ABQ60)+SUMIF(ABP3:ABP60,XR32,ABR3:ABR60)</f>
        <v>3</v>
      </c>
      <c r="XX32" s="319">
        <f t="shared" ca="1" si="9787"/>
        <v>998</v>
      </c>
      <c r="XY32" s="319">
        <f t="shared" ca="1" si="9788"/>
        <v>1</v>
      </c>
      <c r="XZ32" s="319">
        <f t="shared" si="750"/>
        <v>38</v>
      </c>
      <c r="YA32" s="319">
        <f t="shared" ref="YA32" ca="1" si="10163">IF(COUNTIF(XY31:XY35,4)&lt;&gt;4,RANK(XY32,XY31:XY35),XY72)</f>
        <v>4</v>
      </c>
      <c r="YB32" s="319"/>
      <c r="YC32" s="319">
        <f t="shared" ref="YC32" ca="1" si="10164">SUMPRODUCT((YA31:YA34=YA32)*(XZ31:XZ34&lt;XZ32))+YA32</f>
        <v>4</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2</v>
      </c>
      <c r="ABR32" s="322">
        <f ca="1">IF(OFFSET('Player Game Board'!Q39,0,ABQ1)&lt;&gt;"",OFFSET('Player Game Board'!Q39,0,ABQ1),0)</f>
        <v>1</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106</v>
      </c>
      <c r="ACM32" s="319" t="str">
        <f t="shared" ref="ACM32" ca="1" si="10206">VLOOKUP(1,XQ37:XR40,2,FALSE)</f>
        <v>Portugal</v>
      </c>
      <c r="ACN32" s="325">
        <f t="shared" ca="1" si="5181"/>
        <v>1</v>
      </c>
      <c r="ACO32" s="319">
        <f t="shared" ref="ACO32" ca="1" si="10207">VLOOKUP(ACP32,AGK31:AGL35,2,FALSE)</f>
        <v>4</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1</v>
      </c>
      <c r="ACS32" s="319">
        <f t="shared" ref="ACS32" ca="1" si="10210">SUMPRODUCT((AGN3:AGN42=ACP32)*(AGR3:AGR42="L"))+SUMPRODUCT((AGQ3:AGQ42=ACP32)*(AGS3:AGS42="L"))</f>
        <v>2</v>
      </c>
      <c r="ACT32" s="319">
        <f t="shared" ref="ACT32" ca="1" si="10211">SUMIF(AGN3:AGN60,ACP32,AGO3:AGO60)+SUMIF(AGQ3:AGQ60,ACP32,AGP3:AGP60)</f>
        <v>2</v>
      </c>
      <c r="ACU32" s="319">
        <f t="shared" ref="ACU32" ca="1" si="10212">SUMIF(AGQ3:AGQ60,ACP32,AGO3:AGO60)+SUMIF(AGN3:AGN60,ACP32,AGP3:AGP60)</f>
        <v>6</v>
      </c>
      <c r="ACV32" s="319">
        <f t="shared" ca="1" si="9825"/>
        <v>996</v>
      </c>
      <c r="ACW32" s="319">
        <f t="shared" ca="1" si="9826"/>
        <v>1</v>
      </c>
      <c r="ACX32" s="319">
        <f t="shared" si="810"/>
        <v>38</v>
      </c>
      <c r="ACY32" s="319">
        <f t="shared" ref="ACY32" ca="1" si="10213">IF(COUNTIF(ACW31:ACW35,4)&lt;&gt;4,RANK(ACW32,ACW31:ACW35),ACW72)</f>
        <v>3</v>
      </c>
      <c r="ACZ32" s="319"/>
      <c r="ADA32" s="319">
        <f t="shared" ref="ADA32" ca="1" si="10214">SUMPRODUCT((ACY31:ACY34=ACY32)*(ACX31:ACX34&lt;ACX32))+ACY32</f>
        <v>3</v>
      </c>
      <c r="ADB32" s="319" t="str">
        <f t="shared" ref="ADB32" ca="1" si="10215">INDEX(ACP31:ACP35,MATCH(2,ADA31:ADA35,0),0)</f>
        <v>Ukraine</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Romania</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Ukraine</v>
      </c>
      <c r="AGL32" s="319">
        <v>2</v>
      </c>
      <c r="AGM32" s="319">
        <v>30</v>
      </c>
      <c r="AGN32" s="319" t="str">
        <f t="shared" si="66"/>
        <v>Denmark</v>
      </c>
      <c r="AGO32" s="322">
        <f ca="1">IF(OFFSET('Player Game Board'!P39,0,AGO1)&lt;&gt;"",OFFSET('Player Game Board'!P39,0,AGO1),0)</f>
        <v>2</v>
      </c>
      <c r="AGP32" s="322">
        <f ca="1">IF(OFFSET('Player Game Board'!Q39,0,AGO1)&lt;&gt;"",OFFSET('Player Game Board'!Q39,0,AGO1),0)</f>
        <v>1</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106</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1</v>
      </c>
      <c r="AHQ32" s="319">
        <f t="shared" ref="AHQ32" ca="1" si="10260">SUMPRODUCT((ALL3:ALL42=AHN32)*(ALP3:ALP42="L"))+SUMPRODUCT((ALO3:ALO42=AHN32)*(ALQ3:ALQ42="L"))</f>
        <v>2</v>
      </c>
      <c r="AHR32" s="319">
        <f t="shared" ref="AHR32" ca="1" si="10261">SUMIF(ALL3:ALL60,AHN32,ALM3:ALM60)+SUMIF(ALO3:ALO60,AHN32,ALN3:ALN60)</f>
        <v>3</v>
      </c>
      <c r="AHS32" s="319">
        <f t="shared" ref="AHS32" ca="1" si="10262">SUMIF(ALO3:ALO60,AHN32,ALM3:ALM60)+SUMIF(ALL3:ALL60,AHN32,ALN3:ALN60)</f>
        <v>6</v>
      </c>
      <c r="AHT32" s="319">
        <f t="shared" ca="1" si="9863"/>
        <v>997</v>
      </c>
      <c r="AHU32" s="319">
        <f t="shared" ca="1" si="9864"/>
        <v>1</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Ukraine</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Romania</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Ukraine</v>
      </c>
      <c r="ALJ32" s="319">
        <v>2</v>
      </c>
      <c r="ALK32" s="319">
        <v>30</v>
      </c>
      <c r="ALL32" s="319" t="str">
        <f t="shared" si="82"/>
        <v>Denmark</v>
      </c>
      <c r="ALM32" s="322">
        <f ca="1">IF(OFFSET('Player Game Board'!P39,0,ALM1)&lt;&gt;"",OFFSET('Player Game Board'!P39,0,ALM1),0)</f>
        <v>2</v>
      </c>
      <c r="ALN32" s="322">
        <f ca="1">IF(OFFSET('Player Game Board'!Q39,0,ALM1)&lt;&gt;"",OFFSET('Player Game Board'!Q39,0,ALM1),0)</f>
        <v>2</v>
      </c>
      <c r="ALO32" s="319" t="str">
        <f t="shared" si="83"/>
        <v>Serbia</v>
      </c>
      <c r="ALP32" s="319" t="str">
        <f ca="1">IF(AND(OFFSET('Player Game Board'!P39,0,ALM1)&lt;&gt;"",OFFSET('Player Game Board'!Q39,0,ALM1)&lt;&gt;""),IF(ALM32&gt;ALN32,"W",IF(ALM32=ALN32,"D","L")),"")</f>
        <v>D</v>
      </c>
      <c r="ALQ32" s="319" t="str">
        <f t="shared" ca="1" si="5720"/>
        <v>D</v>
      </c>
      <c r="ALR32" s="319"/>
      <c r="ALS32" s="319"/>
      <c r="ALT32" s="319"/>
      <c r="ALU32" s="320"/>
      <c r="ALV32" s="320"/>
      <c r="ALW32" s="320"/>
      <c r="ALX32" s="320"/>
      <c r="ALY32" s="320"/>
      <c r="ALZ32" s="320"/>
      <c r="AMA32" s="320"/>
      <c r="AMB32" s="319"/>
      <c r="AMC32" s="319"/>
      <c r="AMD32" s="319"/>
      <c r="AME32" s="319"/>
      <c r="AMF32" s="319"/>
      <c r="AMG32" s="319"/>
      <c r="AMH32" s="319" t="s">
        <v>106</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106</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106</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106</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106</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1003</v>
      </c>
      <c r="AB33" s="319">
        <f t="shared" si="9694"/>
        <v>3</v>
      </c>
      <c r="AC33" s="319">
        <f>IF(U33&lt;&gt;"",VLOOKUP(U33,B4:H40,7,FALSE),"")</f>
        <v>1003</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4</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3</v>
      </c>
      <c r="EE33" s="319">
        <f ca="1">SUMIF(IA3:IA60,DZ33,HY3:HY60)+SUMIF(HX3:HX60,DZ33,HZ3:HZ60)</f>
        <v>7</v>
      </c>
      <c r="EF33" s="319">
        <f t="shared" ca="1" si="9696"/>
        <v>996</v>
      </c>
      <c r="EG33" s="319">
        <f t="shared" ca="1" si="9697"/>
        <v>2</v>
      </c>
      <c r="EH33" s="319">
        <f t="shared" si="609"/>
        <v>46</v>
      </c>
      <c r="EI33" s="319">
        <f ca="1">IF(COUNTIF(EG31:EG35,4)&lt;&gt;4,RANK(EG33,EG31:EG35),EG73)</f>
        <v>2</v>
      </c>
      <c r="EJ33" s="319"/>
      <c r="EK33" s="319">
        <f ca="1">SUMPRODUCT((EI31:EI34=EI33)*(EH31:EH34&lt;EH33))+EI33</f>
        <v>4</v>
      </c>
      <c r="EL33" s="319" t="str">
        <f ca="1">INDEX(DZ31:DZ35,MATCH(3,EK31:EK35,0),0)</f>
        <v>Slovakia</v>
      </c>
      <c r="EM33" s="319">
        <f ca="1">INDEX(EI31:EI35,MATCH(EL33,DZ31:DZ35,0),0)</f>
        <v>2</v>
      </c>
      <c r="EN33" s="319" t="str">
        <f ca="1">IF(AND(EN32&lt;&gt;"",EM33=1),EL33,"")</f>
        <v/>
      </c>
      <c r="EO33" s="319" t="str">
        <f ca="1">IF(AND(EO32&lt;&gt;"",EM34=2),EL34,"")</f>
        <v>Romania</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Slovakia</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2</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19">
        <f ca="1">FQ33-FR33+1000</f>
        <v>1000</v>
      </c>
      <c r="FT33" s="319">
        <f t="shared" ca="1" si="10051"/>
        <v>2</v>
      </c>
      <c r="FU33" s="319">
        <f ca="1">IF(FM33&lt;&gt;"",VLOOKUP(FM33,DZ4:EF40,7,FALSE),"")</f>
        <v>999</v>
      </c>
      <c r="FV33" s="319">
        <f ca="1">IF(FM33&lt;&gt;"",VLOOKUP(FM33,DZ4:EF40,5,FALSE),"")</f>
        <v>3</v>
      </c>
      <c r="FW33" s="319">
        <f ca="1">IF(FM33&lt;&gt;"",VLOOKUP(FM33,DZ4:EH40,9,FALSE),"")</f>
        <v>38</v>
      </c>
      <c r="FX33" s="319">
        <f t="shared" ca="1" si="10052"/>
        <v>2</v>
      </c>
      <c r="FY33" s="319">
        <f ca="1">IF(FM33&lt;&gt;"",RANK(FX33,FX31:FX35),"")</f>
        <v>1</v>
      </c>
      <c r="FZ33" s="319">
        <f ca="1">IF(FM33&lt;&gt;"",SUMPRODUCT((FX31:FX35=FX33)*(FS31:FS35&gt;FS33)),"")</f>
        <v>0</v>
      </c>
      <c r="GA33" s="319">
        <f ca="1">IF(FM33&lt;&gt;"",SUMPRODUCT((FX31:FX35=FX33)*(FS31:FS35=FS33)*(FQ31:FQ35&gt;FQ33)),"")</f>
        <v>0</v>
      </c>
      <c r="GB33" s="319">
        <f ca="1">IF(FM33&lt;&gt;"",SUMPRODUCT((FX31:FX35=FX33)*(FS31:FS35=FS33)*(FQ31:FQ35=FQ33)*(FU31:FU35&gt;FU33)),"")</f>
        <v>0</v>
      </c>
      <c r="GC33" s="319">
        <f ca="1">IF(FM33&lt;&gt;"",SUMPRODUCT((FX31:FX35=FX33)*(FS31:FS35=FS33)*(FQ31:FQ35=FQ33)*(FU31:FU35=FU33)*(FV31:FV35&gt;FV33)),"")</f>
        <v>0</v>
      </c>
      <c r="GD33" s="319">
        <f ca="1">IF(FM33&lt;&gt;"",SUMPRODUCT((FX31:FX35=FX33)*(FS31:FS35=FS33)*(FQ31:FQ35=FQ33)*(FU31:FU35=FU33)*(FV31:FV35=FV33)*(FW31:FW35&gt;FW33)),"")</f>
        <v>0</v>
      </c>
      <c r="GE33" s="319">
        <f ca="1">IF(FM33&lt;&gt;"",IF(GE73&lt;&gt;"",IF(FL70=3,GE73,GE73+FL70),SUM(FY33:GD33)+1),"")</f>
        <v>2</v>
      </c>
      <c r="GF33" s="319" t="str">
        <f ca="1">IF(FM33&lt;&gt;"",INDEX(FM32:FM35,MATCH(3,GE32:GE35,0),0),"")</f>
        <v>Ukraine</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3</v>
      </c>
      <c r="HZ33" s="322">
        <f ca="1">IF(OFFSET('Player Game Board'!Q40,0,HY1)&lt;&gt;"",OFFSET('Player Game Board'!Q40,0,HY1),0)</f>
        <v>1</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3</v>
      </c>
      <c r="IX33" s="319" t="str">
        <f t="shared" si="10053"/>
        <v>Romania</v>
      </c>
      <c r="IY33" s="319">
        <f ca="1">SUMPRODUCT((MV3:MV42=IX33)*(MZ3:MZ42="W"))+SUMPRODUCT((MY3:MY42=IX33)*(NA3:NA42="W"))</f>
        <v>0</v>
      </c>
      <c r="IZ33" s="319">
        <f ca="1">SUMPRODUCT((MV3:MV42=IX33)*(MZ3:MZ42="D"))+SUMPRODUCT((MY3:MY42=IX33)*(NA3:NA42="D"))</f>
        <v>2</v>
      </c>
      <c r="JA33" s="319">
        <f ca="1">SUMPRODUCT((MV3:MV42=IX33)*(MZ3:MZ42="L"))+SUMPRODUCT((MY3:MY42=IX33)*(NA3:NA42="L"))</f>
        <v>1</v>
      </c>
      <c r="JB33" s="319">
        <f ca="1">SUMIF(MV3:MV60,IX33,MW3:MW60)+SUMIF(MY3:MY60,IX33,MX3:MX60)</f>
        <v>4</v>
      </c>
      <c r="JC33" s="319">
        <f ca="1">SUMIF(MY3:MY60,IX33,MW3:MW60)+SUMIF(MV3:MV60,IX33,MX3:MX60)</f>
        <v>5</v>
      </c>
      <c r="JD33" s="319">
        <f t="shared" ca="1" si="9700"/>
        <v>999</v>
      </c>
      <c r="JE33" s="319">
        <f t="shared" ca="1" si="9701"/>
        <v>2</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999</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1</v>
      </c>
      <c r="LV33" s="319">
        <f ca="1">IF(LE33&lt;&gt;"",SUMPRODUCT((LP31:LP35=LP33)*(LK31:LK35=LK33)*(LI31:LI35=LI33)*(LM31:LM35=LM33)*(LN31:LN35=LN33)*(LO31:LO35&gt;LO33)),"")</f>
        <v>0</v>
      </c>
      <c r="LW33" s="319">
        <f ca="1">IF(LE33&lt;&gt;"",SUM(LQ33:LV33)+2,"")</f>
        <v>4</v>
      </c>
      <c r="LX33" s="319" t="str">
        <f ca="1">IF(LE33&lt;&gt;"",INDEX(LE33:LE35,MATCH(3,LW33:LW35,0),0),"")</f>
        <v>Romania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Romania</v>
      </c>
      <c r="MT33" s="319">
        <v>3</v>
      </c>
      <c r="MU33" s="319">
        <v>31</v>
      </c>
      <c r="MV33" s="319" t="str">
        <f t="shared" si="170"/>
        <v>Netherlands</v>
      </c>
      <c r="MW33" s="322">
        <f ca="1">IF(OFFSET('Player Game Board'!P40,0,MW1)&lt;&gt;"",OFFSET('Player Game Board'!P40,0,MW1),0)</f>
        <v>1</v>
      </c>
      <c r="MX33" s="322">
        <f ca="1">IF(OFFSET('Player Game Board'!Q40,0,MW1)&lt;&gt;"",OFFSET('Player Game Board'!Q40,0,MW1),0)</f>
        <v>1</v>
      </c>
      <c r="MY33" s="319" t="str">
        <f t="shared" si="171"/>
        <v>Austria</v>
      </c>
      <c r="MZ33" s="319" t="str">
        <f ca="1">IF(AND(OFFSET('Player Game Board'!P40,0,MW1)&lt;&gt;"",OFFSET('Player Game Board'!Q40,0,MW1)&lt;&gt;""),IF(MW33&gt;MX33,"W",IF(MW33=MX33,"D","L")),"")</f>
        <v>D</v>
      </c>
      <c r="NA33" s="319" t="str">
        <f t="shared" ca="1" si="172"/>
        <v>D</v>
      </c>
      <c r="NB33" s="319"/>
      <c r="NC33" s="319"/>
      <c r="ND33" s="319"/>
      <c r="NE33" s="320"/>
      <c r="NF33" s="320"/>
      <c r="NG33" s="320"/>
      <c r="NH33" s="320"/>
      <c r="NI33" s="320"/>
      <c r="NJ33" s="320"/>
      <c r="NK33" s="320"/>
      <c r="NL33" s="319"/>
      <c r="NM33" s="319"/>
      <c r="NN33" s="319"/>
      <c r="NO33" s="319"/>
      <c r="NP33" s="319"/>
      <c r="NQ33" s="319"/>
      <c r="NR33" s="319"/>
      <c r="NS33" s="319" t="str">
        <f ca="1">VLOOKUP(2,IW37:IX40,2,FALSE)</f>
        <v>Portugal</v>
      </c>
      <c r="NT33" s="325">
        <f t="shared" ca="1" si="5052"/>
        <v>1</v>
      </c>
      <c r="NU33" s="319">
        <f t="shared" ref="NU33" ca="1" si="10513">VLOOKUP(NV33,RQ31:RR35,2,FALSE)</f>
        <v>1</v>
      </c>
      <c r="NV33" s="319" t="str">
        <f t="shared" si="9705"/>
        <v>Romania</v>
      </c>
      <c r="NW33" s="319">
        <f t="shared" ref="NW33" ca="1" si="10514">SUMPRODUCT((RT3:RT42=NV33)*(RX3:RX42="W"))+SUMPRODUCT((RW3:RW42=NV33)*(RY3:RY42="W"))</f>
        <v>2</v>
      </c>
      <c r="NX33" s="319">
        <f t="shared" ref="NX33" ca="1" si="10515">SUMPRODUCT((RT3:RT42=NV33)*(RX3:RX42="D"))+SUMPRODUCT((RW3:RW42=NV33)*(RY3:RY42="D"))</f>
        <v>1</v>
      </c>
      <c r="NY33" s="319">
        <f t="shared" ref="NY33" ca="1" si="10516">SUMPRODUCT((RT3:RT42=NV33)*(RX3:RX42="L"))+SUMPRODUCT((RW3:RW42=NV33)*(RY3:RY42="L"))</f>
        <v>0</v>
      </c>
      <c r="NZ33" s="319">
        <f t="shared" ref="NZ33" ca="1" si="10517">SUMIF(RT3:RT60,NV33,RU3:RU60)+SUMIF(RW3:RW60,NV33,RV3:RV60)</f>
        <v>3</v>
      </c>
      <c r="OA33" s="319">
        <f t="shared" ref="OA33" ca="1" si="10518">SUMIF(RW3:RW60,NV33,RU3:RU60)+SUMIF(RT3:RT60,NV33,RV3:RV60)</f>
        <v>1</v>
      </c>
      <c r="OB33" s="319">
        <f t="shared" ca="1" si="9711"/>
        <v>1002</v>
      </c>
      <c r="OC33" s="319">
        <f t="shared" ca="1" si="9712"/>
        <v>7</v>
      </c>
      <c r="OD33" s="319">
        <f t="shared" si="630"/>
        <v>46</v>
      </c>
      <c r="OE33" s="319">
        <f t="shared" ref="OE33" ca="1" si="10519">IF(COUNTIF(OC31:OC35,4)&lt;&gt;4,RANK(OC33,OC31:OC35),OC73)</f>
        <v>1</v>
      </c>
      <c r="OF33" s="319"/>
      <c r="OG33" s="319">
        <f t="shared" ref="OG33" ca="1" si="10520">SUMPRODUCT((OE31:OE34=OE33)*(OD31:OD34&lt;OD33))+OE33</f>
        <v>1</v>
      </c>
      <c r="OH33" s="319" t="str">
        <f t="shared" ref="OH33" ca="1" si="10521">INDEX(NV31:NV35,MATCH(3,OG31:OG35,0),0)</f>
        <v>Belgium</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Belgium</v>
      </c>
      <c r="RR33" s="319">
        <v>3</v>
      </c>
      <c r="RS33" s="319">
        <v>31</v>
      </c>
      <c r="RT33" s="319" t="str">
        <f t="shared" si="18"/>
        <v>Netherlands</v>
      </c>
      <c r="RU33" s="322">
        <f ca="1">IF(OFFSET('Player Game Board'!P40,0,RU1)&lt;&gt;"",OFFSET('Player Game Board'!P40,0,RU1),0)</f>
        <v>1</v>
      </c>
      <c r="RV33" s="322">
        <f ca="1">IF(OFFSET('Player Game Board'!Q40,0,RU1)&lt;&gt;"",OFFSET('Player Game Board'!Q40,0,RU1),0)</f>
        <v>1</v>
      </c>
      <c r="RW33" s="319" t="str">
        <f t="shared" si="19"/>
        <v>Austria</v>
      </c>
      <c r="RX33" s="319" t="str">
        <f ca="1">IF(AND(OFFSET('Player Game Board'!P40,0,RU1)&lt;&gt;"",OFFSET('Player Game Board'!Q40,0,RU1)&lt;&gt;""),IF(RU33&gt;RV33,"W",IF(RU33=RV33,"D","L")),"")</f>
        <v>D</v>
      </c>
      <c r="RY33" s="319" t="str">
        <f t="shared" ca="1" si="5500"/>
        <v>D</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Portugal</v>
      </c>
      <c r="SR33" s="325">
        <f t="shared" ca="1" si="5095"/>
        <v>1</v>
      </c>
      <c r="SS33" s="319">
        <f t="shared" ref="SS33" ca="1" si="10578">VLOOKUP(ST33,WO31:WP35,2,FALSE)</f>
        <v>2</v>
      </c>
      <c r="ST33" s="319" t="str">
        <f t="shared" si="9743"/>
        <v>Romania</v>
      </c>
      <c r="SU33" s="319">
        <f t="shared" ref="SU33" ca="1" si="10579">SUMPRODUCT((WR3:WR42=ST33)*(WV3:WV42="W"))+SUMPRODUCT((WU3:WU42=ST33)*(WW3:WW42="W"))</f>
        <v>1</v>
      </c>
      <c r="SV33" s="319">
        <f t="shared" ref="SV33" ca="1" si="10580">SUMPRODUCT((WR3:WR42=ST33)*(WV3:WV42="D"))+SUMPRODUCT((WU3:WU42=ST33)*(WW3:WW42="D"))</f>
        <v>1</v>
      </c>
      <c r="SW33" s="319">
        <f t="shared" ref="SW33" ca="1" si="10581">SUMPRODUCT((WR3:WR42=ST33)*(WV3:WV42="L"))+SUMPRODUCT((WU3:WU42=ST33)*(WW3:WW42="L"))</f>
        <v>1</v>
      </c>
      <c r="SX33" s="319">
        <f t="shared" ref="SX33" ca="1" si="10582">SUMIF(WR3:WR60,ST33,WS3:WS60)+SUMIF(WU3:WU60,ST33,WT3:WT60)</f>
        <v>2</v>
      </c>
      <c r="SY33" s="319">
        <f t="shared" ref="SY33" ca="1" si="10583">SUMIF(WU3:WU60,ST33,WS3:WS60)+SUMIF(WR3:WR60,ST33,WT3:WT60)</f>
        <v>3</v>
      </c>
      <c r="SZ33" s="319">
        <f t="shared" ca="1" si="9749"/>
        <v>999</v>
      </c>
      <c r="TA33" s="319">
        <f t="shared" ca="1" si="9750"/>
        <v>4</v>
      </c>
      <c r="TB33" s="319">
        <f t="shared" si="690"/>
        <v>46</v>
      </c>
      <c r="TC33" s="319">
        <f t="shared" ref="TC33" ca="1" si="10584">IF(COUNTIF(TA31:TA35,4)&lt;&gt;4,RANK(TA33,TA31:TA35),TA73)</f>
        <v>2</v>
      </c>
      <c r="TD33" s="319"/>
      <c r="TE33" s="319">
        <f t="shared" ref="TE33" ca="1" si="10585">SUMPRODUCT((TC31:TC34=TC33)*(TB31:TB34&lt;TB33))+TC33</f>
        <v>3</v>
      </c>
      <c r="TF33" s="319" t="str">
        <f t="shared" ref="TF33" ca="1" si="10586">INDEX(ST31:ST35,MATCH(3,TE31:TE35,0),0)</f>
        <v>Romania</v>
      </c>
      <c r="TG33" s="319">
        <f t="shared" ref="TG33" ca="1" si="10587">INDEX(TC31:TC35,MATCH(TF33,ST31:ST35,0),0)</f>
        <v>2</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Romania</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f t="shared" ca="1" si="10143"/>
        <v>1</v>
      </c>
      <c r="UO33" s="319">
        <f t="shared" ref="UO33" ca="1" si="10611">IF(UG33&lt;&gt;"",VLOOKUP(UG33,ST4:SZ40,7,FALSE),"")</f>
        <v>999</v>
      </c>
      <c r="UP33" s="319">
        <f t="shared" ref="UP33" ca="1" si="10612">IF(UG33&lt;&gt;"",VLOOKUP(UG33,ST4:SZ40,5,FALSE),"")</f>
        <v>2</v>
      </c>
      <c r="UQ33" s="319">
        <f t="shared" ref="UQ33" ca="1" si="10613">IF(UG33&lt;&gt;"",VLOOKUP(UG33,ST4:TB40,9,FALSE),"")</f>
        <v>46</v>
      </c>
      <c r="UR33" s="319">
        <f t="shared" ca="1" si="10147"/>
        <v>1</v>
      </c>
      <c r="US33" s="319">
        <f t="shared" ref="US33" ca="1" si="10614">IF(UG33&lt;&gt;"",RANK(UR33,UR31:UR35),"")</f>
        <v>1</v>
      </c>
      <c r="UT33" s="319">
        <f t="shared" ref="UT33" ca="1" si="10615">IF(UG33&lt;&gt;"",SUMPRODUCT((UR31:UR35=UR33)*(UM31:UM35&gt;UM33)),"")</f>
        <v>0</v>
      </c>
      <c r="UU33" s="319">
        <f t="shared" ref="UU33" ca="1" si="10616">IF(UG33&lt;&gt;"",SUMPRODUCT((UR31:UR35=UR33)*(UM31:UM35=UM33)*(UK31:UK35&gt;UK33)),"")</f>
        <v>0</v>
      </c>
      <c r="UV33" s="319">
        <f t="shared" ref="UV33" ca="1" si="10617">IF(UG33&lt;&gt;"",SUMPRODUCT((UR31:UR35=UR33)*(UM31:UM35=UM33)*(UK31:UK35=UK33)*(UO31:UO35&gt;UO33)),"")</f>
        <v>0</v>
      </c>
      <c r="UW33" s="319">
        <f t="shared" ref="UW33" ca="1" si="10618">IF(UG33&lt;&gt;"",SUMPRODUCT((UR31:UR35=UR33)*(UM31:UM35=UM33)*(UK31:UK35=UK33)*(UO31:UO35=UO33)*(UP31:UP35&gt;UP33)),"")</f>
        <v>0</v>
      </c>
      <c r="UX33" s="319">
        <f t="shared" ref="UX33" ca="1" si="10619">IF(UG33&lt;&gt;"",SUMPRODUCT((UR31:UR35=UR33)*(UM31:UM35=UM33)*(UK31:UK35=UK33)*(UO31:UO35=UO33)*(UP31:UP35=UP33)*(UQ31:UQ35&gt;UQ33)),"")</f>
        <v>0</v>
      </c>
      <c r="UY33" s="319">
        <f ca="1">IF(UG33&lt;&gt;"",IF(UY73&lt;&gt;"",IF(UF70=3,UY73,UY73+UF70),SUM(US33:UX33)+1),"")</f>
        <v>2</v>
      </c>
      <c r="UZ33" s="319" t="str">
        <f t="shared" ref="UZ33" ca="1" si="10620">IF(UG33&lt;&gt;"",INDEX(UG32:UG35,MATCH(3,UY32:UY35,0),0),"")</f>
        <v>Ukraine</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Ukraine</v>
      </c>
      <c r="WP33" s="319">
        <v>3</v>
      </c>
      <c r="WQ33" s="319">
        <v>31</v>
      </c>
      <c r="WR33" s="319" t="str">
        <f t="shared" si="34"/>
        <v>Netherlands</v>
      </c>
      <c r="WS33" s="322">
        <f ca="1">IF(OFFSET('Player Game Board'!P40,0,WS1)&lt;&gt;"",OFFSET('Player Game Board'!P40,0,WS1),0)</f>
        <v>1</v>
      </c>
      <c r="WT33" s="322">
        <f ca="1">IF(OFFSET('Player Game Board'!Q40,0,WS1)&lt;&gt;"",OFFSET('Player Game Board'!Q40,0,WS1),0)</f>
        <v>0</v>
      </c>
      <c r="WU33" s="319" t="str">
        <f t="shared" si="35"/>
        <v>Austria</v>
      </c>
      <c r="WV33" s="319" t="str">
        <f ca="1">IF(AND(OFFSET('Player Game Board'!P40,0,WS1)&lt;&gt;"",OFFSET('Player Game Board'!Q40,0,WS1)&lt;&gt;""),IF(WS33&gt;WT33,"W",IF(WS33=WT33,"D","L")),"")</f>
        <v>W</v>
      </c>
      <c r="WW33" s="319" t="str">
        <f t="shared" ca="1" si="5555"/>
        <v>L</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3</v>
      </c>
      <c r="XR33" s="319" t="str">
        <f t="shared" si="9781"/>
        <v>Romania</v>
      </c>
      <c r="XS33" s="319">
        <f t="shared" ref="XS33" ca="1" si="10644">SUMPRODUCT((ABP3:ABP42=XR33)*(ABT3:ABT42="W"))+SUMPRODUCT((ABS3:ABS42=XR33)*(ABU3:ABU42="W"))</f>
        <v>0</v>
      </c>
      <c r="XT33" s="319">
        <f t="shared" ref="XT33" ca="1" si="10645">SUMPRODUCT((ABP3:ABP42=XR33)*(ABT3:ABT42="D"))+SUMPRODUCT((ABS3:ABS42=XR33)*(ABU3:ABU42="D"))</f>
        <v>2</v>
      </c>
      <c r="XU33" s="319">
        <f t="shared" ref="XU33" ca="1" si="10646">SUMPRODUCT((ABP3:ABP42=XR33)*(ABT3:ABT42="L"))+SUMPRODUCT((ABS3:ABS42=XR33)*(ABU3:ABU42="L"))</f>
        <v>1</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2</v>
      </c>
      <c r="XZ33" s="319">
        <f t="shared" si="750"/>
        <v>46</v>
      </c>
      <c r="YA33" s="319">
        <f t="shared" ref="YA33" ca="1" si="10649">IF(COUNTIF(XY31:XY35,4)&lt;&gt;4,RANK(XY33,XY31:XY35),XY73)</f>
        <v>3</v>
      </c>
      <c r="YB33" s="319"/>
      <c r="YC33" s="319">
        <f t="shared" ref="YC33" ca="1" si="10650">SUMPRODUCT((YA31:YA34=YA33)*(XZ31:XZ34&lt;XZ33))+YA33</f>
        <v>3</v>
      </c>
      <c r="YD33" s="319" t="str">
        <f t="shared" ref="YD33" ca="1" si="10651">INDEX(XR31:XR35,MATCH(3,YC31:YC35,0),0)</f>
        <v>Romania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Romania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Türkiye</v>
      </c>
      <c r="ACN33" s="325">
        <f t="shared" ca="1" si="5181"/>
        <v>1</v>
      </c>
      <c r="ACO33" s="319">
        <f t="shared" ref="ACO33" ca="1" si="10708">VLOOKUP(ACP33,AGK31:AGL35,2,FALSE)</f>
        <v>3</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1</v>
      </c>
      <c r="ACS33" s="319">
        <f t="shared" ref="ACS33" ca="1" si="10711">SUMPRODUCT((AGN3:AGN42=ACP33)*(AGR3:AGR42="L"))+SUMPRODUCT((AGQ3:AGQ42=ACP33)*(AGS3:AGS42="L"))</f>
        <v>2</v>
      </c>
      <c r="ACT33" s="319">
        <f t="shared" ref="ACT33" ca="1" si="10712">SUMIF(AGN3:AGN60,ACP33,AGO3:AGO60)+SUMIF(AGQ3:AGQ60,ACP33,AGP3:AGP60)</f>
        <v>2</v>
      </c>
      <c r="ACU33" s="319">
        <f t="shared" ref="ACU33" ca="1" si="10713">SUMIF(AGQ3:AGQ60,ACP33,AGO3:AGO60)+SUMIF(AGN3:AGN60,ACP33,AGP3:AGP60)</f>
        <v>5</v>
      </c>
      <c r="ACV33" s="319">
        <f t="shared" ca="1" si="9825"/>
        <v>997</v>
      </c>
      <c r="ACW33" s="319">
        <f t="shared" ca="1" si="9826"/>
        <v>1</v>
      </c>
      <c r="ACX33" s="319">
        <f t="shared" si="810"/>
        <v>46</v>
      </c>
      <c r="ACY33" s="319">
        <f t="shared" ref="ACY33" ca="1" si="10714">IF(COUNTIF(ACW31:ACW35,4)&lt;&gt;4,RANK(ACW33,ACW31:ACW35),ACW73)</f>
        <v>3</v>
      </c>
      <c r="ACZ33" s="319"/>
      <c r="ADA33" s="319">
        <f t="shared" ref="ADA33" ca="1" si="10715">SUMPRODUCT((ACY31:ACY34=ACY33)*(ACX31:ACX34&lt;ACX33))+ACY33</f>
        <v>4</v>
      </c>
      <c r="ADB33" s="319" t="str">
        <f t="shared" ref="ADB33" ca="1" si="10716">INDEX(ACP31:ACP35,MATCH(3,ADA31:ADA35,0),0)</f>
        <v>Slovakia</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Slovakia</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19">
        <f t="shared" ref="AFC33:AFC34" ca="1" si="10757">AFA33-AFB33+1000</f>
        <v>1000</v>
      </c>
      <c r="AFD33" s="319">
        <f t="shared" ref="AFD33:AFD34" ca="1" si="10758">IF(AEW33&lt;&gt;"",AEX33*3+AEY33*1,"")</f>
        <v>1</v>
      </c>
      <c r="AFE33" s="319">
        <f t="shared" ref="AFE33" ca="1" si="10759">IF(AEW33&lt;&gt;"",VLOOKUP(AEW33,ACP4:ACV40,7,FALSE),"")</f>
        <v>996</v>
      </c>
      <c r="AFF33" s="319">
        <f t="shared" ref="AFF33" ca="1" si="10760">IF(AEW33&lt;&gt;"",VLOOKUP(AEW33,ACP4:ACV40,5,FALSE),"")</f>
        <v>2</v>
      </c>
      <c r="AFG33" s="319">
        <f t="shared" ref="AFG33" ca="1" si="10761">IF(AEW33&lt;&gt;"",VLOOKUP(AEW33,ACP4:ACX40,9,FALSE),"")</f>
        <v>38</v>
      </c>
      <c r="AFH33" s="319">
        <f t="shared" ref="AFH33:AFH34" ca="1" si="10762">AFD33</f>
        <v>1</v>
      </c>
      <c r="AFI33" s="319">
        <f t="shared" ref="AFI33" ca="1" si="10763">IF(AEW33&lt;&gt;"",RANK(AFH33,AFH32:AFH35),"")</f>
        <v>1</v>
      </c>
      <c r="AFJ33" s="319">
        <f t="shared" ref="AFJ33" ca="1" si="10764">IF(AEW33&lt;&gt;"",SUMPRODUCT((AFH31:AFH35=AFH33)*(AFC31:AFC35&gt;AFC33)),"")</f>
        <v>0</v>
      </c>
      <c r="AFK33" s="319">
        <f t="shared" ref="AFK33" ca="1" si="10765">IF(AEW33&lt;&gt;"",SUMPRODUCT((AFH31:AFH35=AFH33)*(AFC31:AFC35=AFC33)*(AFA31:AFA35&gt;AFA33)),"")</f>
        <v>0</v>
      </c>
      <c r="AFL33" s="319">
        <f t="shared" ref="AFL33" ca="1" si="10766">IF(AEW33&lt;&gt;"",SUMPRODUCT((AFH31:AFH35=AFH33)*(AFC31:AFC35=AFC33)*(AFA31:AFA35=AFA33)*(AFE31:AFE35&gt;AFE33)),"")</f>
        <v>1</v>
      </c>
      <c r="AFM33" s="319">
        <f t="shared" ref="AFM33" ca="1" si="10767">IF(AEW33&lt;&gt;"",SUMPRODUCT((AFH31:AFH35=AFH33)*(AFC31:AFC35=AFC33)*(AFA31:AFA35=AFA33)*(AFE31:AFE35=AFE33)*(AFF31:AFF35&gt;AFF33)),"")</f>
        <v>0</v>
      </c>
      <c r="AFN33" s="319">
        <f t="shared" ref="AFN33" ca="1" si="10768">IF(AEW33&lt;&gt;"",SUMPRODUCT((AFH31:AFH35=AFH33)*(AFC31:AFC35=AFC33)*(AFA31:AFA35=AFA33)*(AFE31:AFE35=AFE33)*(AFF31:AFF35=AFF33)*(AFG31:AFG35&gt;AFG33)),"")</f>
        <v>0</v>
      </c>
      <c r="AFO33" s="319">
        <f t="shared" ref="AFO33:AFO34" ca="1" si="10769">IF(AEW33&lt;&gt;"",SUM(AFI33:AFN33)+2,"")</f>
        <v>4</v>
      </c>
      <c r="AFP33" s="319" t="str">
        <f t="shared" ref="AFP33" ca="1" si="10770">IF(AEW33&lt;&gt;"",INDEX(AEW33:AEW35,MATCH(3,AFO33:AFO35,0),0),"")</f>
        <v>Romania</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Romania</v>
      </c>
      <c r="AGL33" s="319">
        <v>3</v>
      </c>
      <c r="AGM33" s="319">
        <v>31</v>
      </c>
      <c r="AGN33" s="319" t="str">
        <f t="shared" si="66"/>
        <v>Netherlands</v>
      </c>
      <c r="AGO33" s="322">
        <f ca="1">IF(OFFSET('Player Game Board'!P40,0,AGO1)&lt;&gt;"",OFFSET('Player Game Board'!P40,0,AGO1),0)</f>
        <v>1</v>
      </c>
      <c r="AGP33" s="322">
        <f ca="1">IF(OFFSET('Player Game Board'!Q40,0,AGO1)&lt;&gt;"",OFFSET('Player Game Board'!Q40,0,AGO1),0)</f>
        <v>1</v>
      </c>
      <c r="AGQ33" s="319" t="str">
        <f t="shared" si="67"/>
        <v>Austria</v>
      </c>
      <c r="AGR33" s="319" t="str">
        <f ca="1">IF(AND(OFFSET('Player Game Board'!P40,0,AGO1)&lt;&gt;"",OFFSET('Player Game Board'!Q40,0,AGO1)&lt;&gt;""),IF(AGO33&gt;AGP33,"W",IF(AGO33=AGP33,"D","L")),"")</f>
        <v>D</v>
      </c>
      <c r="AGS33" s="319" t="str">
        <f t="shared" ca="1" si="5665"/>
        <v>D</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4</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1</v>
      </c>
      <c r="AHQ33" s="319">
        <f t="shared" ref="AHQ33" ca="1" si="10776">SUMPRODUCT((ALL3:ALL42=AHN33)*(ALP3:ALP42="L"))+SUMPRODUCT((ALO3:ALO42=AHN33)*(ALQ3:ALQ42="L"))</f>
        <v>2</v>
      </c>
      <c r="AHR33" s="319">
        <f t="shared" ref="AHR33" ca="1" si="10777">SUMIF(ALL3:ALL60,AHN33,ALM3:ALM60)+SUMIF(ALO3:ALO60,AHN33,ALN3:ALN60)</f>
        <v>2</v>
      </c>
      <c r="AHS33" s="319">
        <f t="shared" ref="AHS33" ca="1" si="10778">SUMIF(ALO3:ALO60,AHN33,ALM3:ALM60)+SUMIF(ALL3:ALL60,AHN33,ALN3:ALN60)</f>
        <v>8</v>
      </c>
      <c r="AHT33" s="319">
        <f t="shared" ca="1" si="9863"/>
        <v>994</v>
      </c>
      <c r="AHU33" s="319">
        <f t="shared" ca="1" si="9864"/>
        <v>1</v>
      </c>
      <c r="AHV33" s="319">
        <f t="shared" si="870"/>
        <v>46</v>
      </c>
      <c r="AHW33" s="319">
        <f t="shared" ref="AHW33" ca="1" si="10779">IF(COUNTIF(AHU31:AHU35,4)&lt;&gt;4,RANK(AHU33,AHU31:AHU35),AHU73)</f>
        <v>3</v>
      </c>
      <c r="AHX33" s="319"/>
      <c r="AHY33" s="319">
        <f t="shared" ref="AHY33" ca="1" si="10780">SUMPRODUCT((AHW31:AHW34=AHW33)*(AHV31:AHV34&lt;AHV33))+AHW33</f>
        <v>4</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Slovakia</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19">
        <f t="shared" ref="AKA33:AKA34" ca="1" si="10822">AJY33-AJZ33+1000</f>
        <v>1000</v>
      </c>
      <c r="AKB33" s="319">
        <f t="shared" ref="AKB33:AKB34" ca="1" si="10823">IF(AJU33&lt;&gt;"",AJV33*3+AJW33*1,"")</f>
        <v>1</v>
      </c>
      <c r="AKC33" s="319">
        <f t="shared" ref="AKC33" ca="1" si="10824">IF(AJU33&lt;&gt;"",VLOOKUP(AJU33,AHN4:AHT40,7,FALSE),"")</f>
        <v>997</v>
      </c>
      <c r="AKD33" s="319">
        <f t="shared" ref="AKD33" ca="1" si="10825">IF(AJU33&lt;&gt;"",VLOOKUP(AJU33,AHN4:AHT40,5,FALSE),"")</f>
        <v>3</v>
      </c>
      <c r="AKE33" s="319">
        <f t="shared" ref="AKE33" ca="1" si="10826">IF(AJU33&lt;&gt;"",VLOOKUP(AJU33,AHN4:AHV40,9,FALSE),"")</f>
        <v>38</v>
      </c>
      <c r="AKF33" s="319">
        <f t="shared" ref="AKF33:AKF34" ca="1" si="10827">AKB33</f>
        <v>1</v>
      </c>
      <c r="AKG33" s="319">
        <f t="shared" ref="AKG33" ca="1" si="10828">IF(AJU33&lt;&gt;"",RANK(AKF33,AKF32:AKF35),"")</f>
        <v>1</v>
      </c>
      <c r="AKH33" s="319">
        <f t="shared" ref="AKH33" ca="1" si="10829">IF(AJU33&lt;&gt;"",SUMPRODUCT((AKF31:AKF35=AKF33)*(AKA31:AKA35&gt;AKA33)),"")</f>
        <v>0</v>
      </c>
      <c r="AKI33" s="319">
        <f t="shared" ref="AKI33" ca="1" si="10830">IF(AJU33&lt;&gt;"",SUMPRODUCT((AKF31:AKF35=AKF33)*(AKA31:AKA35=AKA33)*(AJY31:AJY35&gt;AJY33)),"")</f>
        <v>0</v>
      </c>
      <c r="AKJ33" s="319">
        <f t="shared" ref="AKJ33" ca="1" si="10831">IF(AJU33&lt;&gt;"",SUMPRODUCT((AKF31:AKF35=AKF33)*(AKA31:AKA35=AKA33)*(AJY31:AJY35=AJY33)*(AKC31:AKC35&gt;AKC33)),"")</f>
        <v>0</v>
      </c>
      <c r="AKK33" s="319">
        <f t="shared" ref="AKK33" ca="1" si="10832">IF(AJU33&lt;&gt;"",SUMPRODUCT((AKF31:AKF35=AKF33)*(AKA31:AKA35=AKA33)*(AJY31:AJY35=AJY33)*(AKC31:AKC35=AKC33)*(AKD31:AKD35&gt;AKD33)),"")</f>
        <v>0</v>
      </c>
      <c r="AKL33" s="319">
        <f t="shared" ref="AKL33" ca="1" si="10833">IF(AJU33&lt;&gt;"",SUMPRODUCT((AKF31:AKF35=AKF33)*(AKA31:AKA35=AKA33)*(AJY31:AJY35=AJY33)*(AKC31:AKC35=AKC33)*(AKD31:AKD35=AKD33)*(AKE31:AKE35&gt;AKE33)),"")</f>
        <v>0</v>
      </c>
      <c r="AKM33" s="319">
        <f t="shared" ref="AKM33:AKM34" ca="1" si="10834">IF(AJU33&lt;&gt;"",SUM(AKG33:AKL33)+2,"")</f>
        <v>3</v>
      </c>
      <c r="AKN33" s="319" t="str">
        <f t="shared" ref="AKN33" ca="1" si="10835">IF(AJU33&lt;&gt;"",INDEX(AJU33:AJU35,MATCH(3,AKM33:AKM35,0),0),"")</f>
        <v>Slovakia</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3</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2</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4</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Belgium</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2</v>
      </c>
      <c r="EE34" s="319">
        <f ca="1">SUMIF(IA3:IA60,DZ34,HY3:HY60)+SUMIF(HX3:HX60,DZ34,HZ3:HZ60)</f>
        <v>5</v>
      </c>
      <c r="EF34" s="319">
        <f t="shared" ca="1" si="9696"/>
        <v>997</v>
      </c>
      <c r="EG34" s="319">
        <f t="shared" ca="1" si="9697"/>
        <v>2</v>
      </c>
      <c r="EH34" s="319">
        <f t="shared" si="609"/>
        <v>0</v>
      </c>
      <c r="EI34" s="319">
        <f ca="1">IF(COUNTIF(EG31:EG35,4)&lt;&gt;4,RANK(EG34,EG31:EG35),EG74)</f>
        <v>2</v>
      </c>
      <c r="EJ34" s="319"/>
      <c r="EK34" s="319">
        <f ca="1">SUMPRODUCT((EI31:EI34=EI34)*(EH31:EH34&lt;EH34))+EI34</f>
        <v>2</v>
      </c>
      <c r="EL34" s="319" t="str">
        <f ca="1">INDEX(DZ31:DZ35,MATCH(4,EK31:EK35,0),0)</f>
        <v>Romania</v>
      </c>
      <c r="EM34" s="319">
        <f ca="1">INDEX(EI31:EI35,MATCH(EL34,DZ31:DZ35,0),0)</f>
        <v>2</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Romania</v>
      </c>
      <c r="FN34" s="319">
        <f ca="1">IF(FM34&lt;&gt;"",SUMPRODUCT((HX3:HX42=FM34)*(IA3:IA42=FM35)*(IB3:IB42="W"))+SUMPRODUCT((HX3:HX42=FM34)*(IA3:IA42=FM32)*(IB3:IB42="W"))+SUMPRODUCT((HX3:HX42=FM34)*(IA3:IA42=FM33)*(IB3:IB42="W"))+SUMPRODUCT((HX3:HX42=FM35)*(IA3:IA42=FM34)*(IC3:IC42="W"))+SUMPRODUCT((HX3:HX42=FM32)*(IA3:IA42=FM34)*(IC3:IC42="W"))+SUMPRODUCT((HX3:HX42=FM33)*(IA3:IA42=FM34)*(IC3:IC42="W")),"")</f>
        <v>0</v>
      </c>
      <c r="FO34" s="319">
        <f ca="1">IF(FM34&lt;&gt;"",SUMPRODUCT((HX3:HX42=FM34)*(IA3:IA42=FM35)*(IB3:IB42="D"))+SUMPRODUCT((HX3:HX42=FM34)*(IA3:IA42=FM32)*(IB3:IB42="D"))+SUMPRODUCT((HX3:HX42=FM34)*(IA3:IA42=FM33)*(IB3:IB42="D"))+SUMPRODUCT((HX3:HX42=FM35)*(IA3:IA42=FM34)*(IB3:IB42="D"))+SUMPRODUCT((HX3:HX42=FM32)*(IA3:IA42=FM34)*(IB3:IB42="D"))+SUMPRODUCT((HX3:HX42=FM33)*(IA3:IA42=FM34)*(IB3:IB42="D")),"")</f>
        <v>2</v>
      </c>
      <c r="FP34" s="319">
        <f ca="1">IF(FM34&lt;&gt;"",SUMPRODUCT((HX3:HX42=FM34)*(IA3:IA42=FM35)*(IB3:IB42="L"))+SUMPRODUCT((HX3:HX42=FM34)*(IA3:IA42=FM32)*(IB3:IB42="L"))+SUMPRODUCT((HX3:HX42=FM34)*(IA3:IA42=FM33)*(IB3:IB42="L"))+SUMPRODUCT((HX3:HX42=FM35)*(IA3:IA42=FM34)*(IC3:IC42="L"))+SUMPRODUCT((HX3:HX42=FM32)*(IA3:IA42=FM34)*(IC3:IC42="L"))+SUMPRODUCT((HX3:HX42=FM33)*(IA3:IA42=FM34)*(IC3:IC42="L")),"")</f>
        <v>0</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19">
        <f ca="1">FQ34-FR34+1000</f>
        <v>1000</v>
      </c>
      <c r="FT34" s="319">
        <f t="shared" ca="1" si="10051"/>
        <v>2</v>
      </c>
      <c r="FU34" s="319">
        <f ca="1">IF(FM34&lt;&gt;"",VLOOKUP(FM34,DZ4:EF40,7,FALSE),"")</f>
        <v>996</v>
      </c>
      <c r="FV34" s="319">
        <f ca="1">IF(FM34&lt;&gt;"",VLOOKUP(FM34,DZ4:EF40,5,FALSE),"")</f>
        <v>3</v>
      </c>
      <c r="FW34" s="319">
        <f ca="1">IF(FM34&lt;&gt;"",VLOOKUP(FM34,DZ4:EH40,9,FALSE),"")</f>
        <v>46</v>
      </c>
      <c r="FX34" s="319">
        <f t="shared" ca="1" si="10052"/>
        <v>2</v>
      </c>
      <c r="FY34" s="319">
        <f ca="1">IF(FM34&lt;&gt;"",RANK(FX34,FX31:FX35),"")</f>
        <v>1</v>
      </c>
      <c r="FZ34" s="319">
        <f ca="1">IF(FM34&lt;&gt;"",SUMPRODUCT((FX31:FX35=FX34)*(FS31:FS35&gt;FS34)),"")</f>
        <v>0</v>
      </c>
      <c r="GA34" s="319">
        <f ca="1">IF(FM34&lt;&gt;"",SUMPRODUCT((FX31:FX35=FX34)*(FS31:FS35=FS34)*(FQ31:FQ35&gt;FQ34)),"")</f>
        <v>0</v>
      </c>
      <c r="GB34" s="319">
        <f ca="1">IF(FM34&lt;&gt;"",SUMPRODUCT((FX31:FX35=FX34)*(FS31:FS35=FS34)*(FQ31:FQ35=FQ34)*(FU31:FU35&gt;FU34)),"")</f>
        <v>2</v>
      </c>
      <c r="GC34" s="319">
        <f ca="1">IF(FM34&lt;&gt;"",SUMPRODUCT((FX31:FX35=FX34)*(FS31:FS35=FS34)*(FQ31:FQ35=FQ34)*(FU31:FU35=FU34)*(FV31:FV35&gt;FV34)),"")</f>
        <v>0</v>
      </c>
      <c r="GD34" s="319">
        <f ca="1">IF(FM34&lt;&gt;"",SUMPRODUCT((FX31:FX35=FX34)*(FS31:FS35=FS34)*(FQ31:FQ35=FQ34)*(FU31:FU35=FU34)*(FV31:FV35=FV34)*(FW31:FW35&gt;FW34)),"")</f>
        <v>0</v>
      </c>
      <c r="GE34" s="319">
        <f ca="1">IF(FM34&lt;&gt;"",IF(GE74&lt;&gt;"",IF(FL70=3,GE74,GE74+FL70),SUM(FY34:GD34)+1),"")</f>
        <v>4</v>
      </c>
      <c r="GF34" s="319" t="str">
        <f ca="1">IF(FM34&lt;&gt;"",INDEX(FM32:FM35,MATCH(4,GE32:GE35,0),0),"")</f>
        <v>Romania</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5</v>
      </c>
      <c r="HZ34" s="322">
        <f ca="1">IF(OFFSET('Player Game Board'!Q41,0,HY1)&lt;&gt;"",OFFSET('Player Game Board'!Q41,0,HY1),0)</f>
        <v>1</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0</v>
      </c>
      <c r="IZ34" s="319">
        <f ca="1">SUMPRODUCT((MV3:MV42=IX34)*(MZ3:MZ42="D"))+SUMPRODUCT((MY3:MY42=IX34)*(NA3:NA42="D"))</f>
        <v>3</v>
      </c>
      <c r="JA34" s="319">
        <f ca="1">SUMPRODUCT((MV3:MV42=IX34)*(MZ3:MZ42="L"))+SUMPRODUCT((MY3:MY42=IX34)*(NA3:NA42="L"))</f>
        <v>0</v>
      </c>
      <c r="JB34" s="319">
        <f ca="1">SUMIF(MV3:MV60,IX34,MW3:MW60)+SUMIF(MY3:MY60,IX34,MX3:MX60)</f>
        <v>3</v>
      </c>
      <c r="JC34" s="319">
        <f ca="1">SUMIF(MY3:MY60,IX34,MW3:MW60)+SUMIF(MV3:MV60,IX34,MX3:MX60)</f>
        <v>3</v>
      </c>
      <c r="JD34" s="319">
        <f t="shared" ca="1" si="9700"/>
        <v>1000</v>
      </c>
      <c r="JE34" s="319">
        <f t="shared" ca="1" si="9701"/>
        <v>3</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999</v>
      </c>
      <c r="LN34" s="319">
        <f ca="1">IF(LE34&lt;&gt;"",VLOOKUP(LE34,IX4:JD40,5,FALSE),"")</f>
        <v>4</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0</v>
      </c>
      <c r="LU34" s="319">
        <f ca="1">IF(LE34&lt;&gt;"",SUMPRODUCT((LP31:LP35=LP34)*(LK31:LK35=LK34)*(LI31:LI35=LI34)*(LM31:LM35=LM34)*(LN31:LN35&gt;LN34)),"")</f>
        <v>0</v>
      </c>
      <c r="LV34" s="319">
        <f ca="1">IF(LE34&lt;&gt;"",SUMPRODUCT((LP31:LP35=LP34)*(LK31:LK35=LK34)*(LI31:LI35=LI34)*(LM31:LM35=LM34)*(LN31:LN35=LN34)*(LO31:LO35&gt;LO34)),"")</f>
        <v>0</v>
      </c>
      <c r="LW34" s="319">
        <f ca="1">IF(LE34&lt;&gt;"",SUM(LQ34:LV34)+2,"")</f>
        <v>3</v>
      </c>
      <c r="LX34" s="319" t="str">
        <f ca="1">IF(LE34&lt;&gt;"",INDEX(LE33:LE35,MATCH(4,LW33:LW35,0),0),"")</f>
        <v>Slovakia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Slovakia</v>
      </c>
      <c r="MT34" s="319">
        <v>4</v>
      </c>
      <c r="MU34" s="319">
        <v>32</v>
      </c>
      <c r="MV34" s="319" t="str">
        <f t="shared" si="170"/>
        <v>France</v>
      </c>
      <c r="MW34" s="322">
        <f ca="1">IF(OFFSET('Player Game Board'!P41,0,MW1)&lt;&gt;"",OFFSET('Player Game Board'!P41,0,MW1),0)</f>
        <v>1</v>
      </c>
      <c r="MX34" s="322">
        <f ca="1">IF(OFFSET('Player Game Board'!Q41,0,MW1)&lt;&gt;"",OFFSET('Player Game Board'!Q41,0,MW1),0)</f>
        <v>1</v>
      </c>
      <c r="MY34" s="319" t="str">
        <f t="shared" si="171"/>
        <v>Poland</v>
      </c>
      <c r="MZ34" s="319" t="str">
        <f ca="1">IF(AND(OFFSET('Player Game Board'!P41,0,MW1)&lt;&gt;"",OFFSET('Player Game Board'!Q41,0,MW1)&lt;&gt;""),IF(MW34&gt;MX34,"W",IF(MW34=MX34,"D","L")),"")</f>
        <v>D</v>
      </c>
      <c r="NA34" s="319" t="str">
        <f t="shared" ca="1" si="172"/>
        <v>D</v>
      </c>
      <c r="NB34" s="319"/>
      <c r="NC34" s="319"/>
      <c r="ND34" s="319"/>
      <c r="NE34" s="320"/>
      <c r="NF34" s="320"/>
      <c r="NG34" s="320"/>
      <c r="NH34" s="320"/>
      <c r="NI34" s="320"/>
      <c r="NJ34" s="320"/>
      <c r="NK34" s="320"/>
      <c r="NL34" s="319"/>
      <c r="NM34" s="319"/>
      <c r="NN34" s="319"/>
      <c r="NO34" s="319"/>
      <c r="NP34" s="319"/>
      <c r="NQ34" s="319"/>
      <c r="NR34" s="319"/>
      <c r="NS34" s="319"/>
      <c r="NT34" s="319">
        <f ca="1">SUM(NT18:NT33)</f>
        <v>10</v>
      </c>
      <c r="NU34" s="319">
        <f t="shared" ref="NU34" ca="1" si="11104">VLOOKUP(NV34,RQ31:RR35,2,FALSE)</f>
        <v>2</v>
      </c>
      <c r="NV34" s="319" t="str">
        <f t="shared" si="9705"/>
        <v>Ukraine</v>
      </c>
      <c r="NW34" s="319">
        <f t="shared" ref="NW34" ca="1" si="11105">SUMPRODUCT((RT3:RT42=NV34)*(RX3:RX42="W"))+SUMPRODUCT((RW3:RW42=NV34)*(RY3:RY42="W"))</f>
        <v>1</v>
      </c>
      <c r="NX34" s="319">
        <f t="shared" ref="NX34" ca="1" si="11106">SUMPRODUCT((RT3:RT42=NV34)*(RX3:RX42="D"))+SUMPRODUCT((RW3:RW42=NV34)*(RY3:RY42="D"))</f>
        <v>2</v>
      </c>
      <c r="NY34" s="319">
        <f t="shared" ref="NY34" ca="1" si="11107">SUMPRODUCT((RT3:RT42=NV34)*(RX3:RX42="L"))+SUMPRODUCT((RW3:RW42=NV34)*(RY3:RY42="L"))</f>
        <v>0</v>
      </c>
      <c r="NZ34" s="319">
        <f t="shared" ref="NZ34" ca="1" si="11108">SUMIF(RT3:RT60,NV34,RU3:RU60)+SUMIF(RW3:RW60,NV34,RV3:RV60)</f>
        <v>2</v>
      </c>
      <c r="OA34" s="319">
        <f t="shared" ref="OA34" ca="1" si="11109">SUMIF(RW3:RW60,NV34,RU3:RU60)+SUMIF(RT3:RT60,NV34,RV3:RV60)</f>
        <v>1</v>
      </c>
      <c r="OB34" s="319">
        <f t="shared" ca="1" si="9711"/>
        <v>1001</v>
      </c>
      <c r="OC34" s="319">
        <f t="shared" ca="1" si="9712"/>
        <v>5</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Slovakia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Slovakia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11</v>
      </c>
      <c r="SS34" s="319">
        <f t="shared" ref="SS34" ca="1" si="11180">VLOOKUP(ST34,WO31:WP35,2,FALSE)</f>
        <v>3</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1</v>
      </c>
      <c r="SY34" s="319">
        <f t="shared" ref="SY34" ca="1" si="11185">SUMIF(WU3:WU60,ST34,WS3:WS60)+SUMIF(WR3:WR60,ST34,WT3:WT60)</f>
        <v>2</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1</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4</v>
      </c>
      <c r="XW34" s="319">
        <f t="shared" ref="XW34" ca="1" si="11261">SUMIF(ABS3:ABS60,XR34,ABQ3:ABQ60)+SUMIF(ABP3:ABP60,XR34,ABR3:ABR60)</f>
        <v>6</v>
      </c>
      <c r="XX34" s="319">
        <f t="shared" ca="1" si="9787"/>
        <v>998</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Slovakia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Slovakia</v>
      </c>
      <c r="ABN34" s="319">
        <v>4</v>
      </c>
      <c r="ABO34" s="319">
        <v>32</v>
      </c>
      <c r="ABP34" s="319" t="str">
        <f t="shared" si="50"/>
        <v>France</v>
      </c>
      <c r="ABQ34" s="322">
        <f ca="1">IF(OFFSET('Player Game Board'!P41,0,ABQ1)&lt;&gt;"",OFFSET('Player Game Board'!P41,0,ABQ1),0)</f>
        <v>3</v>
      </c>
      <c r="ABR34" s="322">
        <f ca="1">IF(OFFSET('Player Game Board'!Q41,0,ABQ1)&lt;&gt;"",OFFSET('Player Game Board'!Q41,0,ABQ1),0)</f>
        <v>0</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2</v>
      </c>
      <c r="ACP34" s="319" t="str">
        <f t="shared" si="9819"/>
        <v>Ukraine</v>
      </c>
      <c r="ACQ34" s="319">
        <f t="shared" ref="ACQ34" ca="1" si="11333">SUMPRODUCT((AGN3:AGN42=ACP34)*(AGR3:AGR42="W"))+SUMPRODUCT((AGQ3:AGQ42=ACP34)*(AGS3:AGS42="W"))</f>
        <v>2</v>
      </c>
      <c r="ACR34" s="319">
        <f t="shared" ref="ACR34" ca="1" si="11334">SUMPRODUCT((AGN3:AGN42=ACP34)*(AGR3:AGR42="D"))+SUMPRODUCT((AGQ3:AGQ42=ACP34)*(AGS3:AGS42="D"))</f>
        <v>0</v>
      </c>
      <c r="ACS34" s="319">
        <f t="shared" ref="ACS34" ca="1" si="11335">SUMPRODUCT((AGN3:AGN42=ACP34)*(AGR3:AGR42="L"))+SUMPRODUCT((AGQ3:AGQ42=ACP34)*(AGS3:AGS42="L"))</f>
        <v>1</v>
      </c>
      <c r="ACT34" s="319">
        <f t="shared" ref="ACT34" ca="1" si="11336">SUMIF(AGN3:AGN60,ACP34,AGO3:AGO60)+SUMIF(AGQ3:AGQ60,ACP34,AGP3:AGP60)</f>
        <v>5</v>
      </c>
      <c r="ACU34" s="319">
        <f t="shared" ref="ACU34" ca="1" si="11337">SUMIF(AGQ3:AGQ60,ACP34,AGO3:AGO60)+SUMIF(AGN3:AGN60,ACP34,AGP3:AGP60)</f>
        <v>4</v>
      </c>
      <c r="ACV34" s="319">
        <f t="shared" ca="1" si="9825"/>
        <v>1001</v>
      </c>
      <c r="ACW34" s="319">
        <f t="shared" ca="1" si="9826"/>
        <v>6</v>
      </c>
      <c r="ACX34" s="319">
        <f t="shared" si="810"/>
        <v>0</v>
      </c>
      <c r="ACY34" s="319">
        <f t="shared" ref="ACY34" ca="1" si="11338">IF(COUNTIF(ACW31:ACW35,4)&lt;&gt;4,RANK(ACW34,ACW31:ACW35),ACW74)</f>
        <v>2</v>
      </c>
      <c r="ACZ34" s="319"/>
      <c r="ADA34" s="319">
        <f t="shared" ref="ADA34" ca="1" si="11339">SUMPRODUCT((ACY31:ACY34=ACY34)*(ACX31:ACX34&lt;ACX34))+ACY34</f>
        <v>2</v>
      </c>
      <c r="ADB34" s="319" t="str">
        <f t="shared" ref="ADB34" ca="1" si="11340">INDEX(ACP31:ACP35,MATCH(4,ADA31:ADA35,0),0)</f>
        <v>Romania</v>
      </c>
      <c r="ADC34" s="319">
        <f t="shared" ref="ADC34" ca="1" si="11341">INDEX(ACY31:ACY35,MATCH(ADB34,ACP31:ACP35,0),0)</f>
        <v>3</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Romania</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19">
        <f t="shared" ca="1" si="10757"/>
        <v>1000</v>
      </c>
      <c r="AFD34" s="319">
        <f t="shared" ca="1" si="10758"/>
        <v>1</v>
      </c>
      <c r="AFE34" s="319">
        <f t="shared" ref="AFE34" ca="1" si="11377">IF(AEW34&lt;&gt;"",VLOOKUP(AEW34,ACP4:ACV40,7,FALSE),"")</f>
        <v>997</v>
      </c>
      <c r="AFF34" s="319">
        <f t="shared" ref="AFF34" ca="1" si="11378">IF(AEW34&lt;&gt;"",VLOOKUP(AEW34,ACP4:ACV40,5,FALSE),"")</f>
        <v>2</v>
      </c>
      <c r="AFG34" s="319">
        <f t="shared" ref="AFG34" ca="1" si="11379">IF(AEW34&lt;&gt;"",VLOOKUP(AEW34,ACP4:ACX40,9,FALSE),"")</f>
        <v>46</v>
      </c>
      <c r="AFH34" s="319">
        <f t="shared" ca="1" si="10762"/>
        <v>1</v>
      </c>
      <c r="AFI34" s="319">
        <f t="shared" ref="AFI34" ca="1" si="11380">IF(AEW34&lt;&gt;"",RANK(AFH34,AFH32:AFH35),"")</f>
        <v>1</v>
      </c>
      <c r="AFJ34" s="319">
        <f t="shared" ref="AFJ34" ca="1" si="11381">IF(AEW34&lt;&gt;"",SUMPRODUCT((AFH31:AFH35=AFH34)*(AFC31:AFC35&gt;AFC34)),"")</f>
        <v>0</v>
      </c>
      <c r="AFK34" s="319">
        <f t="shared" ref="AFK34" ca="1" si="11382">IF(AEW34&lt;&gt;"",SUMPRODUCT((AFH31:AFH35=AFH34)*(AFC31:AFC35=AFC34)*(AFA31:AFA35&gt;AFA34)),"")</f>
        <v>0</v>
      </c>
      <c r="AFL34" s="319">
        <f t="shared" ref="AFL34" ca="1" si="11383">IF(AEW34&lt;&gt;"",SUMPRODUCT((AFH31:AFH35=AFH34)*(AFC31:AFC35=AFC34)*(AFA31:AFA35=AFA34)*(AFE31:AFE35&gt;AFE34)),"")</f>
        <v>0</v>
      </c>
      <c r="AFM34" s="319">
        <f t="shared" ref="AFM34" ca="1" si="11384">IF(AEW34&lt;&gt;"",SUMPRODUCT((AFH31:AFH35=AFH34)*(AFC31:AFC35=AFC34)*(AFA31:AFA35=AFA34)*(AFE31:AFE35=AFE34)*(AFF31:AFF35&gt;AFF34)),"")</f>
        <v>0</v>
      </c>
      <c r="AFN34" s="319">
        <f t="shared" ref="AFN34" ca="1" si="11385">IF(AEW34&lt;&gt;"",SUMPRODUCT((AFH31:AFH35=AFH34)*(AFC31:AFC35=AFC34)*(AFA31:AFA35=AFA34)*(AFE31:AFE35=AFE34)*(AFF31:AFF35=AFF34)*(AFG31:AFG35&gt;AFG34)),"")</f>
        <v>0</v>
      </c>
      <c r="AFO34" s="319">
        <f t="shared" ca="1" si="10769"/>
        <v>3</v>
      </c>
      <c r="AFP34" s="319" t="str">
        <f t="shared" ref="AFP34" ca="1" si="11386">IF(AEW34&lt;&gt;"",INDEX(AEW33:AEW35,MATCH(4,AFO33:AFO35,0),0),"")</f>
        <v>Slovakia</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Slovakia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11</v>
      </c>
      <c r="AHM34" s="319">
        <f t="shared" ref="AHM34" ca="1" si="11408">VLOOKUP(AHN34,ALI31:ALJ35,2,FALSE)</f>
        <v>2</v>
      </c>
      <c r="AHN34" s="319" t="str">
        <f t="shared" si="9857"/>
        <v>Ukraine</v>
      </c>
      <c r="AHO34" s="319">
        <f t="shared" ref="AHO34" ca="1" si="11409">SUMPRODUCT((ALL3:ALL42=AHN34)*(ALP3:ALP42="W"))+SUMPRODUCT((ALO3:ALO42=AHN34)*(ALQ3:ALQ42="W"))</f>
        <v>2</v>
      </c>
      <c r="AHP34" s="319">
        <f t="shared" ref="AHP34" ca="1" si="11410">SUMPRODUCT((ALL3:ALL42=AHN34)*(ALP3:ALP42="D"))+SUMPRODUCT((ALO3:ALO42=AHN34)*(ALQ3:ALQ42="D"))</f>
        <v>0</v>
      </c>
      <c r="AHQ34" s="319">
        <f t="shared" ref="AHQ34" ca="1" si="11411">SUMPRODUCT((ALL3:ALL42=AHN34)*(ALP3:ALP42="L"))+SUMPRODUCT((ALO3:ALO42=AHN34)*(ALQ3:ALQ42="L"))</f>
        <v>1</v>
      </c>
      <c r="AHR34" s="319">
        <f t="shared" ref="AHR34" ca="1" si="11412">SUMIF(ALL3:ALL60,AHN34,ALM3:ALM60)+SUMIF(ALO3:ALO60,AHN34,ALN3:ALN60)</f>
        <v>8</v>
      </c>
      <c r="AHS34" s="319">
        <f t="shared" ref="AHS34" ca="1" si="11413">SUMIF(ALO3:ALO60,AHN34,ALM3:ALM60)+SUMIF(ALL3:ALL60,AHN34,ALN3:ALN60)</f>
        <v>5</v>
      </c>
      <c r="AHT34" s="319">
        <f t="shared" ca="1" si="9863"/>
        <v>1003</v>
      </c>
      <c r="AHU34" s="319">
        <f t="shared" ca="1" si="9864"/>
        <v>6</v>
      </c>
      <c r="AHV34" s="319">
        <f t="shared" si="870"/>
        <v>0</v>
      </c>
      <c r="AHW34" s="319">
        <f t="shared" ref="AHW34" ca="1" si="11414">IF(COUNTIF(AHU31:AHU35,4)&lt;&gt;4,RANK(AHU34,AHU31:AHU35),AHU74)</f>
        <v>2</v>
      </c>
      <c r="AHX34" s="319"/>
      <c r="AHY34" s="319">
        <f t="shared" ref="AHY34" ca="1" si="11415">SUMPRODUCT((AHW31:AHW34=AHW34)*(AHV31:AHV34&lt;AHV34))+AHW34</f>
        <v>2</v>
      </c>
      <c r="AHZ34" s="319" t="str">
        <f t="shared" ref="AHZ34" ca="1" si="11416">INDEX(AHN31:AHN35,MATCH(4,AHY31:AHY35,0),0)</f>
        <v>Romania</v>
      </c>
      <c r="AIA34" s="319">
        <f t="shared" ref="AIA34" ca="1" si="11417">INDEX(AHW31:AHW35,MATCH(AHZ34,AHN31:AHN35,0),0)</f>
        <v>3</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Romania</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19">
        <f t="shared" ca="1" si="10822"/>
        <v>1000</v>
      </c>
      <c r="AKB34" s="319">
        <f t="shared" ca="1" si="10823"/>
        <v>1</v>
      </c>
      <c r="AKC34" s="319">
        <f t="shared" ref="AKC34" ca="1" si="11453">IF(AJU34&lt;&gt;"",VLOOKUP(AJU34,AHN4:AHT40,7,FALSE),"")</f>
        <v>994</v>
      </c>
      <c r="AKD34" s="319">
        <f t="shared" ref="AKD34" ca="1" si="11454">IF(AJU34&lt;&gt;"",VLOOKUP(AJU34,AHN4:AHT40,5,FALSE),"")</f>
        <v>2</v>
      </c>
      <c r="AKE34" s="319">
        <f t="shared" ref="AKE34" ca="1" si="11455">IF(AJU34&lt;&gt;"",VLOOKUP(AJU34,AHN4:AHV40,9,FALSE),"")</f>
        <v>46</v>
      </c>
      <c r="AKF34" s="319">
        <f t="shared" ca="1" si="10827"/>
        <v>1</v>
      </c>
      <c r="AKG34" s="319">
        <f t="shared" ref="AKG34" ca="1" si="11456">IF(AJU34&lt;&gt;"",RANK(AKF34,AKF32:AKF35),"")</f>
        <v>1</v>
      </c>
      <c r="AKH34" s="319">
        <f t="shared" ref="AKH34" ca="1" si="11457">IF(AJU34&lt;&gt;"",SUMPRODUCT((AKF31:AKF35=AKF34)*(AKA31:AKA35&gt;AKA34)),"")</f>
        <v>0</v>
      </c>
      <c r="AKI34" s="319">
        <f t="shared" ref="AKI34" ca="1" si="11458">IF(AJU34&lt;&gt;"",SUMPRODUCT((AKF31:AKF35=AKF34)*(AKA31:AKA35=AKA34)*(AJY31:AJY35&gt;AJY34)),"")</f>
        <v>0</v>
      </c>
      <c r="AKJ34" s="319">
        <f t="shared" ref="AKJ34" ca="1" si="11459">IF(AJU34&lt;&gt;"",SUMPRODUCT((AKF31:AKF35=AKF34)*(AKA31:AKA35=AKA34)*(AJY31:AJY35=AJY34)*(AKC31:AKC35&gt;AKC34)),"")</f>
        <v>1</v>
      </c>
      <c r="AKK34" s="319">
        <f t="shared" ref="AKK34" ca="1" si="11460">IF(AJU34&lt;&gt;"",SUMPRODUCT((AKF31:AKF35=AKF34)*(AKA31:AKA35=AKA34)*(AJY31:AJY35=AJY34)*(AKC31:AKC35=AKC34)*(AKD31:AKD35&gt;AKD34)),"")</f>
        <v>0</v>
      </c>
      <c r="AKL34" s="319">
        <f t="shared" ref="AKL34" ca="1" si="11461">IF(AJU34&lt;&gt;"",SUMPRODUCT((AKF31:AKF35=AKF34)*(AKA31:AKA35=AKA34)*(AJY31:AJY35=AJY34)*(AKC31:AKC35=AKC34)*(AKD31:AKD35=AKD34)*(AKE31:AKE35&gt;AKE34)),"")</f>
        <v>0</v>
      </c>
      <c r="AKM34" s="319">
        <f t="shared" ca="1" si="10834"/>
        <v>4</v>
      </c>
      <c r="AKN34" s="319" t="str">
        <f t="shared" ref="AKN34" ca="1" si="11462">IF(AJU34&lt;&gt;"",INDEX(AJU33:AJU35,MATCH(4,AKM33:AKM35,0),0),"")</f>
        <v>Romania</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Romania</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1</v>
      </c>
      <c r="RW35" s="319" t="str">
        <f t="shared" si="19"/>
        <v>Romania</v>
      </c>
      <c r="RX35" s="319" t="str">
        <f ca="1">IF(AND(OFFSET('Player Game Board'!P42,0,RU1)&lt;&gt;"",OFFSET('Player Game Board'!Q42,0,RU1)&lt;&gt;""),IF(RU35&gt;RV35,"W",IF(RU35=RV35,"D","L")),"")</f>
        <v>L</v>
      </c>
      <c r="RY35" s="319" t="str">
        <f t="shared" ca="1" si="5500"/>
        <v>W</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1</v>
      </c>
      <c r="WU35" s="319" t="str">
        <f t="shared" si="35"/>
        <v>Romania</v>
      </c>
      <c r="WV35" s="319" t="str">
        <f ca="1">IF(AND(OFFSET('Player Game Board'!P42,0,WS1)&lt;&gt;"",OFFSET('Player Game Board'!Q42,0,WS1)&lt;&gt;""),IF(WS35&gt;WT35,"W",IF(WS35=WT35,"D","L")),"")</f>
        <v>L</v>
      </c>
      <c r="WW35" s="319" t="str">
        <f t="shared" ca="1" si="5555"/>
        <v>W</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0</v>
      </c>
      <c r="ABR35" s="322">
        <f ca="1">IF(OFFSET('Player Game Board'!Q42,0,ABQ1)&lt;&gt;"",OFFSET('Player Game Board'!Q42,0,ABQ1),0)</f>
        <v>0</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1</v>
      </c>
      <c r="AGQ35" s="319" t="str">
        <f t="shared" si="67"/>
        <v>Romania</v>
      </c>
      <c r="AGR35" s="319" t="str">
        <f ca="1">IF(AND(OFFSET('Player Game Board'!P42,0,AGO1)&lt;&gt;"",OFFSET('Player Game Board'!Q42,0,AGO1)&lt;&gt;""),IF(AGO35&gt;AGP35,"W",IF(AGO35=AGP35,"D","L")),"")</f>
        <v>D</v>
      </c>
      <c r="AGS35" s="319" t="str">
        <f t="shared" ca="1" si="5665"/>
        <v>D</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1</v>
      </c>
      <c r="ALN35" s="322">
        <f ca="1">IF(OFFSET('Player Game Board'!Q42,0,ALM1)&lt;&gt;"",OFFSET('Player Game Board'!Q42,0,ALM1),0)</f>
        <v>1</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0</v>
      </c>
      <c r="HZ36" s="322">
        <f ca="1">IF(OFFSET('Player Game Board'!Q43,0,HY1)&lt;&gt;"",OFFSET('Player Game Board'!Q43,0,HY1),0)</f>
        <v>3</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D</v>
      </c>
      <c r="RY36" s="319" t="str">
        <f t="shared" ca="1" si="5500"/>
        <v>D</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4</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1</v>
      </c>
      <c r="AGP36" s="322">
        <f ca="1">IF(OFFSET('Player Game Board'!Q43,0,AGO1)&lt;&gt;"",OFFSET('Player Game Board'!Q43,0,AGO1),0)</f>
        <v>3</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1</v>
      </c>
      <c r="ALN36" s="322">
        <f ca="1">IF(OFFSET('Player Game Board'!Q43,0,ALM1)&lt;&gt;"",OFFSET('Player Game Board'!Q43,0,ALM1),0)</f>
        <v>3</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12</v>
      </c>
      <c r="EE37" s="319">
        <f ca="1">SUMIF(IA3:IA60,DZ37,HY3:HY60)+SUMIF(HX3:HX60,DZ37,HZ3:HZ60)</f>
        <v>2</v>
      </c>
      <c r="EF37" s="319">
        <f t="shared" ref="EF37:EF40" ca="1" si="11792">ED37-EE37+1000</f>
        <v>1010</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6</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2</v>
      </c>
      <c r="IX37" s="319" t="str">
        <f>DZ37</f>
        <v>Portugal</v>
      </c>
      <c r="IY37" s="319">
        <f ca="1">SUMPRODUCT((MV3:MV42=IX37)*(MZ3:MZ42="W"))+SUMPRODUCT((MY3:MY42=IX37)*(NA3:NA42="W"))</f>
        <v>2</v>
      </c>
      <c r="IZ37" s="319">
        <f ca="1">SUMPRODUCT((MV3:MV42=IX37)*(MZ3:MZ42="D"))+SUMPRODUCT((MY3:MY42=IX37)*(NA3:NA42="D"))</f>
        <v>0</v>
      </c>
      <c r="JA37" s="319">
        <f ca="1">SUMPRODUCT((MV3:MV42=IX37)*(MZ3:MZ42="L"))+SUMPRODUCT((MY3:MY42=IX37)*(NA3:NA42="L"))</f>
        <v>1</v>
      </c>
      <c r="JB37" s="319">
        <f ca="1">SUMIF(MV3:MV60,IX37,MW3:MW60)+SUMIF(MY3:MY60,IX37,MX3:MX60)</f>
        <v>4</v>
      </c>
      <c r="JC37" s="319">
        <f ca="1">SUMIF(MY3:MY60,IX37,MW3:MW60)+SUMIF(MV3:MV60,IX37,MX3:MX60)</f>
        <v>4</v>
      </c>
      <c r="JD37" s="319">
        <f t="shared" ref="JD37:JD40" ca="1" si="11796">JB37-JC37+1000</f>
        <v>1000</v>
      </c>
      <c r="JE37" s="319">
        <f t="shared" ref="JE37:JE40" ca="1" si="11797">IY37*3+IZ37*1</f>
        <v>6</v>
      </c>
      <c r="JF37" s="319">
        <f t="shared" si="618"/>
        <v>53</v>
      </c>
      <c r="JG37" s="319">
        <f ca="1">IF(COUNTIF(JE37:JE41,4)&lt;&gt;4,RANK(JE37,JE37:JE41),JE77)</f>
        <v>2</v>
      </c>
      <c r="JH37" s="319"/>
      <c r="JI37" s="319">
        <f ca="1">SUMPRODUCT((JG37:JG40=JG37)*(JF37:JF40&lt;JF37))+JG37</f>
        <v>2</v>
      </c>
      <c r="JJ37" s="319" t="str">
        <f ca="1">INDEX(IX37:IX41,MATCH(1,JI37:JI41,0),0)</f>
        <v>Czechia</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Czechia</v>
      </c>
      <c r="MT37" s="319">
        <v>1</v>
      </c>
      <c r="MU37" s="319">
        <v>35</v>
      </c>
      <c r="MV37" s="319" t="str">
        <f t="shared" si="170"/>
        <v>Georgia</v>
      </c>
      <c r="MW37" s="322">
        <f ca="1">IF(OFFSET('Player Game Board'!P44,0,MW1)&lt;&gt;"",OFFSET('Player Game Board'!P44,0,MW1),0)</f>
        <v>1</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2</v>
      </c>
      <c r="NV37" s="319" t="str">
        <f t="shared" ref="NV37:NV40" si="11801">IX37</f>
        <v>Portugal</v>
      </c>
      <c r="NW37" s="319">
        <f t="shared" ref="NW37" ca="1" si="11802">SUMPRODUCT((RT3:RT42=NV37)*(RX3:RX42="W"))+SUMPRODUCT((RW3:RW42=NV37)*(RY3:RY42="W"))</f>
        <v>2</v>
      </c>
      <c r="NX37" s="319">
        <f t="shared" ref="NX37" ca="1" si="11803">SUMPRODUCT((RT3:RT42=NV37)*(RX3:RX42="D"))+SUMPRODUCT((RW3:RW42=NV37)*(RY3:RY42="D"))</f>
        <v>1</v>
      </c>
      <c r="NY37" s="319">
        <f t="shared" ref="NY37" ca="1" si="11804">SUMPRODUCT((RT3:RT42=NV37)*(RX3:RX42="L"))+SUMPRODUCT((RW3:RW42=NV37)*(RY3:RY42="L"))</f>
        <v>0</v>
      </c>
      <c r="NZ37" s="319">
        <f t="shared" ref="NZ37" ca="1" si="11805">SUMIF(RT3:RT60,NV37,RU3:RU60)+SUMIF(RW3:RW60,NV37,RV3:RV60)</f>
        <v>4</v>
      </c>
      <c r="OA37" s="319">
        <f t="shared" ref="OA37" ca="1" si="11806">SUMIF(RW3:RW60,NV37,RU3:RU60)+SUMIF(RT3:RT60,NV37,RV3:RV60)</f>
        <v>1</v>
      </c>
      <c r="OB37" s="319">
        <f t="shared" ref="OB37:OB40" ca="1" si="11807">NZ37-OA37+1000</f>
        <v>1003</v>
      </c>
      <c r="OC37" s="319">
        <f t="shared" ref="OC37:OC40" ca="1" si="11808">NW37*3+NX37*1</f>
        <v>7</v>
      </c>
      <c r="OD37" s="319">
        <f t="shared" si="630"/>
        <v>53</v>
      </c>
      <c r="OE37" s="319">
        <f t="shared" ref="OE37" ca="1" si="11809">IF(COUNTIF(OC37:OC41,4)&lt;&gt;4,RANK(OC37,OC37:OC41),OC77)</f>
        <v>1</v>
      </c>
      <c r="OF37" s="319"/>
      <c r="OG37" s="319">
        <f t="shared" ref="OG37" ca="1" si="11810">SUMPRODUCT((OE37:OE40=OE37)*(OD37:OD40&lt;OD37))+OE37</f>
        <v>2</v>
      </c>
      <c r="OH37" s="319" t="str">
        <f t="shared" ref="OH37" ca="1" si="11811">INDEX(NV37:NV41,MATCH(1,OG37:OG41,0),0)</f>
        <v>Türkiye</v>
      </c>
      <c r="OI37" s="319">
        <f t="shared" ref="OI37" ca="1" si="11812">INDEX(OE37:OE41,MATCH(OH37,NV37:NV41,0),0)</f>
        <v>1</v>
      </c>
      <c r="OJ37" s="319" t="str">
        <f t="shared" ref="OJ37" ca="1" si="11813">IF(OI38=1,OH37,"")</f>
        <v>Türkiye</v>
      </c>
      <c r="OK37" s="319" t="str">
        <f t="shared" ref="OK37" ca="1" si="11814">IF(OI39=2,OH38,"")</f>
        <v/>
      </c>
      <c r="OL37" s="319" t="str">
        <f t="shared" ref="OL37" ca="1" si="11815">IF(OI40=3,OH39,"")</f>
        <v/>
      </c>
      <c r="OM37" s="319" t="str">
        <f t="shared" ref="OM37" si="11816">IF(OI41=4,OH40,"")</f>
        <v/>
      </c>
      <c r="ON37" s="319"/>
      <c r="OO37" s="319" t="str">
        <f t="shared" ref="OO37:OO40" ca="1" si="11817">IF(OJ37&lt;&gt;"",OJ37,"")</f>
        <v>Türkiye</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19">
        <f t="shared" ref="OU37:OU40" ca="1" si="11823">OS37-OT37+1000</f>
        <v>1000</v>
      </c>
      <c r="OV37" s="319">
        <f t="shared" ref="OV37:OV40" ca="1" si="11824">IF(OO37&lt;&gt;"",OP37*3+OQ37*1,"")</f>
        <v>1</v>
      </c>
      <c r="OW37" s="319">
        <f t="shared" ref="OW37" ca="1" si="11825">IF(OO37&lt;&gt;"",VLOOKUP(OO37,NV4:OB40,7,FALSE),"")</f>
        <v>1003</v>
      </c>
      <c r="OX37" s="319">
        <f t="shared" ref="OX37" ca="1" si="11826">IF(OO37&lt;&gt;"",VLOOKUP(OO37,NV4:OB40,5,FALSE),"")</f>
        <v>5</v>
      </c>
      <c r="OY37" s="319">
        <f t="shared" ref="OY37" ca="1" si="11827">IF(OO37&lt;&gt;"",VLOOKUP(OO37,NV4:OD40,9,FALSE),"")</f>
        <v>47</v>
      </c>
      <c r="OZ37" s="319">
        <f t="shared" ref="OZ37:OZ40" ca="1" si="11828">OV37</f>
        <v>1</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0</v>
      </c>
      <c r="PG37" s="319">
        <f ca="1">IF(OO37&lt;&gt;"",IF(PG77&lt;&gt;"",IF(ON76=3,PG77,PG77+ON76),SUM(PA37:PF37)),"")</f>
        <v>1</v>
      </c>
      <c r="PH37" s="319" t="str">
        <f t="shared" ref="PH37" ca="1" si="11835">IF(OO37&lt;&gt;"",INDEX(OO37:OO41,MATCH(1,PG37:PG41,0),0),"")</f>
        <v>Türkiye</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Türkiye</v>
      </c>
      <c r="RR37" s="319">
        <v>1</v>
      </c>
      <c r="RS37" s="319">
        <v>35</v>
      </c>
      <c r="RT37" s="319" t="str">
        <f t="shared" si="18"/>
        <v>Georgia</v>
      </c>
      <c r="RU37" s="322">
        <f ca="1">IF(OFFSET('Player Game Board'!P44,0,RU1)&lt;&gt;"",OFFSET('Player Game Board'!P44,0,RU1),0)</f>
        <v>0</v>
      </c>
      <c r="RV37" s="322">
        <f ca="1">IF(OFFSET('Player Game Board'!Q44,0,RU1)&lt;&gt;"",OFFSET('Player Game Board'!Q44,0,RU1),0)</f>
        <v>1</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2</v>
      </c>
      <c r="SV37" s="319">
        <f t="shared" ref="SV37" ca="1" si="11840">SUMPRODUCT((WR3:WR42=ST37)*(WV3:WV42="D"))+SUMPRODUCT((WU3:WU42=ST37)*(WW3:WW42="D"))</f>
        <v>1</v>
      </c>
      <c r="SW37" s="319">
        <f t="shared" ref="SW37" ca="1" si="11841">SUMPRODUCT((WR3:WR42=ST37)*(WV3:WV42="L"))+SUMPRODUCT((WU3:WU42=ST37)*(WW3:WW42="L"))</f>
        <v>0</v>
      </c>
      <c r="SX37" s="319">
        <f t="shared" ref="SX37" ca="1" si="11842">SUMIF(WR3:WR60,ST37,WS3:WS60)+SUMIF(WU3:WU60,ST37,WT3:WT60)</f>
        <v>8</v>
      </c>
      <c r="SY37" s="319">
        <f t="shared" ref="SY37" ca="1" si="11843">SUMIF(WU3:WU60,ST37,WS3:WS60)+SUMIF(WR3:WR60,ST37,WT3:WT60)</f>
        <v>1</v>
      </c>
      <c r="SZ37" s="319">
        <f t="shared" ref="SZ37:SZ40" ca="1" si="11844">SX37-SY37+1000</f>
        <v>1007</v>
      </c>
      <c r="TA37" s="319">
        <f t="shared" ref="TA37:TA40" ca="1" si="11845">SU37*3+SV37*1</f>
        <v>7</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6</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1</v>
      </c>
      <c r="XR37" s="319" t="str">
        <f t="shared" ref="XR37:XR40" si="11875">ST37</f>
        <v>Portugal</v>
      </c>
      <c r="XS37" s="319">
        <f t="shared" ref="XS37" ca="1" si="11876">SUMPRODUCT((ABP3:ABP42=XR37)*(ABT3:ABT42="W"))+SUMPRODUCT((ABS3:ABS42=XR37)*(ABU3:ABU42="W"))</f>
        <v>2</v>
      </c>
      <c r="XT37" s="319">
        <f t="shared" ref="XT37" ca="1" si="11877">SUMPRODUCT((ABP3:ABP42=XR37)*(ABT3:ABT42="D"))+SUMPRODUCT((ABS3:ABS42=XR37)*(ABU3:ABU42="D"))</f>
        <v>1</v>
      </c>
      <c r="XU37" s="319">
        <f t="shared" ref="XU37" ca="1" si="11878">SUMPRODUCT((ABP3:ABP42=XR37)*(ABT3:ABT42="L"))+SUMPRODUCT((ABS3:ABS42=XR37)*(ABU3:ABU42="L"))</f>
        <v>0</v>
      </c>
      <c r="XV37" s="319">
        <f t="shared" ref="XV37" ca="1" si="11879">SUMIF(ABP3:ABP60,XR37,ABQ3:ABQ60)+SUMIF(ABS3:ABS60,XR37,ABR3:ABR60)</f>
        <v>9</v>
      </c>
      <c r="XW37" s="319">
        <f t="shared" ref="XW37" ca="1" si="11880">SUMIF(ABS3:ABS60,XR37,ABQ3:ABQ60)+SUMIF(ABP3:ABP60,XR37,ABR3:ABR60)</f>
        <v>3</v>
      </c>
      <c r="XX37" s="319">
        <f t="shared" ref="XX37:XX40" ca="1" si="11881">XV37-XW37+1000</f>
        <v>1006</v>
      </c>
      <c r="XY37" s="319">
        <f t="shared" ref="XY37:XY40" ca="1" si="11882">XS37*3+XT37*1</f>
        <v>7</v>
      </c>
      <c r="XZ37" s="319">
        <f t="shared" si="750"/>
        <v>53</v>
      </c>
      <c r="YA37" s="319">
        <f t="shared" ref="YA37" ca="1" si="11883">IF(COUNTIF(XY37:XY41,4)&lt;&gt;4,RANK(XY37,XY37:XY41),XY77)</f>
        <v>1</v>
      </c>
      <c r="YB37" s="319"/>
      <c r="YC37" s="319">
        <f t="shared" ref="YC37" ca="1" si="11884">SUMPRODUCT((YA37:YA40=YA37)*(XZ37:XZ40&lt;XZ37))+YA37</f>
        <v>2</v>
      </c>
      <c r="YD37" s="319" t="str">
        <f t="shared" ref="YD37" ca="1" si="11885">INDEX(XR37:XR41,MATCH(1,YC37:YC41,0),0)</f>
        <v>Türkiye</v>
      </c>
      <c r="YE37" s="319">
        <f t="shared" ref="YE37" ca="1" si="11886">INDEX(YA37:YA41,MATCH(YD37,XR37:XR41,0),0)</f>
        <v>1</v>
      </c>
      <c r="YF37" s="319" t="str">
        <f t="shared" ref="YF37" ca="1" si="11887">IF(YE38=1,YD37,"")</f>
        <v>Türkiye</v>
      </c>
      <c r="YG37" s="319" t="str">
        <f t="shared" ref="YG37" ca="1" si="11888">IF(YE39=2,YD38,"")</f>
        <v/>
      </c>
      <c r="YH37" s="319" t="str">
        <f t="shared" ref="YH37" ca="1" si="11889">IF(YE40=3,YD39,"")</f>
        <v>Georgia</v>
      </c>
      <c r="YI37" s="319" t="str">
        <f t="shared" ref="YI37" si="11890">IF(YE41=4,YD40,"")</f>
        <v/>
      </c>
      <c r="YJ37" s="319"/>
      <c r="YK37" s="319" t="str">
        <f t="shared" ref="YK37:YK40" ca="1" si="11891">IF(YF37&lt;&gt;"",YF37,"")</f>
        <v>Türkiye</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19">
        <f t="shared" ref="YQ37:YQ40" ca="1" si="11897">YO37-YP37+1000</f>
        <v>1000</v>
      </c>
      <c r="YR37" s="319">
        <f t="shared" ref="YR37:YR40" ca="1" si="11898">IF(YK37&lt;&gt;"",YL37*3+YM37*1,"")</f>
        <v>1</v>
      </c>
      <c r="YS37" s="319">
        <f t="shared" ref="YS37" ca="1" si="11899">IF(YK37&lt;&gt;"",VLOOKUP(YK37,XR4:XX40,7,FALSE),"")</f>
        <v>1003</v>
      </c>
      <c r="YT37" s="319">
        <f t="shared" ref="YT37" ca="1" si="11900">IF(YK37&lt;&gt;"",VLOOKUP(YK37,XR4:XX40,5,FALSE),"")</f>
        <v>6</v>
      </c>
      <c r="YU37" s="319">
        <f t="shared" ref="YU37" ca="1" si="11901">IF(YK37&lt;&gt;"",VLOOKUP(YK37,XR4:XZ40,9,FALSE),"")</f>
        <v>47</v>
      </c>
      <c r="YV37" s="319">
        <f t="shared" ref="YV37:YV40" ca="1" si="11902">YR37</f>
        <v>1</v>
      </c>
      <c r="YW37" s="319">
        <f t="shared" ref="YW37" ca="1" si="11903">IF(YK37&lt;&gt;"",RANK(YV37,YV37:YV41),"")</f>
        <v>1</v>
      </c>
      <c r="YX37" s="319">
        <f t="shared" ref="YX37" ca="1" si="11904">IF(YK37&lt;&gt;"",SUMPRODUCT((YV37:YV41=YV37)*(YQ37:YQ41&gt;YQ37)),"")</f>
        <v>0</v>
      </c>
      <c r="YY37" s="319">
        <f t="shared" ref="YY37" ca="1" si="11905">IF(YK37&lt;&gt;"",SUMPRODUCT((YV37:YV41=YV37)*(YQ37:YQ41=YQ37)*(YO37:YO41&gt;YO37)),"")</f>
        <v>0</v>
      </c>
      <c r="YZ37" s="319">
        <f t="shared" ref="YZ37" ca="1" si="11906">IF(YK37&lt;&gt;"",SUMPRODUCT((YV37:YV41=YV37)*(YQ37:YQ41=YQ37)*(YO37:YO41=YO37)*(YS37:YS41&gt;YS37)),"")</f>
        <v>1</v>
      </c>
      <c r="ZA37" s="319">
        <f t="shared" ref="ZA37" ca="1" si="11907">IF(YK37&lt;&gt;"",SUMPRODUCT((YV37:YV41=YV37)*(YQ37:YQ41=YQ37)*(YO37:YO41=YO37)*(YS37:YS41=YS37)*(YT37:YT41&gt;YT37)),"")</f>
        <v>0</v>
      </c>
      <c r="ZB37" s="319">
        <f t="shared" ref="ZB37" ca="1" si="11908">IF(YK37&lt;&gt;"",SUMPRODUCT((YV37:YV41=YV37)*(YQ37:YQ41=YQ37)*(YO37:YO41=YO37)*(YS37:YS41=YS37)*(YT37:YT41=YT37)*(YU37:YU41&gt;YU37)),"")</f>
        <v>0</v>
      </c>
      <c r="ZC37" s="319">
        <f ca="1">IF(YK37&lt;&gt;"",IF(ZC77&lt;&gt;"",IF(YJ76=3,ZC77,ZC77+YJ76),SUM(YW37:ZB37)),"")</f>
        <v>2</v>
      </c>
      <c r="ZD37" s="319" t="str">
        <f t="shared" ref="ZD37" ca="1" si="11909">IF(YK37&lt;&gt;"",INDEX(YK37:YK41,MATCH(1,ZC37:ZC41,0),0),"")</f>
        <v>Portugal</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Portugal</v>
      </c>
      <c r="ABN37" s="319">
        <v>1</v>
      </c>
      <c r="ABO37" s="319">
        <v>35</v>
      </c>
      <c r="ABP37" s="319" t="str">
        <f t="shared" si="50"/>
        <v>Georgia</v>
      </c>
      <c r="ABQ37" s="322">
        <f ca="1">IF(OFFSET('Player Game Board'!P44,0,ABQ1)&lt;&gt;"",OFFSET('Player Game Board'!P44,0,ABQ1),0)</f>
        <v>0</v>
      </c>
      <c r="ABR37" s="322">
        <f ca="1">IF(OFFSET('Player Game Board'!Q44,0,ABQ1)&lt;&gt;"",OFFSET('Player Game Board'!Q44,0,ABQ1),0)</f>
        <v>4</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3</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10</v>
      </c>
      <c r="ACU37" s="319">
        <f t="shared" ref="ACU37" ca="1" si="11917">SUMIF(AGQ3:AGQ60,ACP37,AGO3:AGO60)+SUMIF(AGN3:AGN60,ACP37,AGP3:AGP60)</f>
        <v>3</v>
      </c>
      <c r="ACV37" s="319">
        <f t="shared" ref="ACV37:ACV40" ca="1" si="11918">ACT37-ACU37+1000</f>
        <v>1007</v>
      </c>
      <c r="ACW37" s="319">
        <f t="shared" ref="ACW37:ACW40" ca="1" si="11919">ACQ37*3+ACR37*1</f>
        <v>9</v>
      </c>
      <c r="ACX37" s="319">
        <f t="shared" si="810"/>
        <v>53</v>
      </c>
      <c r="ACY37" s="319">
        <f t="shared" ref="ACY37" ca="1" si="11920">IF(COUNTIF(ACW37:ACW41,4)&lt;&gt;4,RANK(ACW37,ACW37:ACW41),ACW77)</f>
        <v>1</v>
      </c>
      <c r="ACZ37" s="319"/>
      <c r="ADA37" s="319">
        <f t="shared" ref="ADA37" ca="1" si="11921">SUMPRODUCT((ACY37:ACY40=ACY37)*(ACX37:ACX40&lt;ACX37))+ACY37</f>
        <v>1</v>
      </c>
      <c r="ADB37" s="319" t="str">
        <f t="shared" ref="ADB37" ca="1" si="11922">INDEX(ACP37:ACP41,MATCH(1,ADA37:ADA41,0),0)</f>
        <v>Portugal</v>
      </c>
      <c r="ADC37" s="319">
        <f t="shared" ref="ADC37" ca="1" si="11923">INDEX(ACY37:ACY41,MATCH(ADB37,ACP37:ACP41,0),0)</f>
        <v>1</v>
      </c>
      <c r="ADD37" s="319" t="str">
        <f t="shared" ref="ADD37" ca="1" si="11924">IF(ADC38=1,ADB37,"")</f>
        <v/>
      </c>
      <c r="ADE37" s="319" t="str">
        <f t="shared" ref="ADE37" ca="1" si="11925">IF(ADC39=2,ADB38,"")</f>
        <v>Czechia</v>
      </c>
      <c r="ADF37" s="319" t="str">
        <f t="shared" ref="ADF37" ca="1" si="11926">IF(ADC40=3,ADB39,"")</f>
        <v/>
      </c>
      <c r="ADG37" s="319" t="str">
        <f t="shared" ref="ADG37" si="11927">IF(ADC41=4,ADB40,"")</f>
        <v/>
      </c>
      <c r="ADH37" s="319"/>
      <c r="ADI37" s="319" t="str">
        <f t="shared" ref="ADI37:ADI40" ca="1" si="11928">IF(ADD37&lt;&gt;"",ADD37,"")</f>
        <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t="str">
        <f t="shared" ref="ADP37:ADP40" ca="1" si="11935">IF(ADI37&lt;&gt;"",ADJ37*3+ADK37*1,"")</f>
        <v/>
      </c>
      <c r="ADQ37" s="319" t="str">
        <f t="shared" ref="ADQ37" ca="1" si="11936">IF(ADI37&lt;&gt;"",VLOOKUP(ADI37,ACP4:ACV40,7,FALSE),"")</f>
        <v/>
      </c>
      <c r="ADR37" s="319" t="str">
        <f t="shared" ref="ADR37" ca="1" si="11937">IF(ADI37&lt;&gt;"",VLOOKUP(ADI37,ACP4:ACV40,5,FALSE),"")</f>
        <v/>
      </c>
      <c r="ADS37" s="319" t="str">
        <f t="shared" ref="ADS37" ca="1" si="11938">IF(ADI37&lt;&gt;"",VLOOKUP(ADI37,ACP4:ACX40,9,FALSE),"")</f>
        <v/>
      </c>
      <c r="ADT37" s="319" t="str">
        <f t="shared" ref="ADT37:ADT40" ca="1" si="11939">ADP37</f>
        <v/>
      </c>
      <c r="ADU37" s="319" t="str">
        <f t="shared" ref="ADU37" ca="1" si="11940">IF(ADI37&lt;&gt;"",RANK(ADT37,ADT37:ADT41),"")</f>
        <v/>
      </c>
      <c r="ADV37" s="319" t="str">
        <f t="shared" ref="ADV37" ca="1" si="11941">IF(ADI37&lt;&gt;"",SUMPRODUCT((ADT37:ADT41=ADT37)*(ADO37:ADO41&gt;ADO37)),"")</f>
        <v/>
      </c>
      <c r="ADW37" s="319" t="str">
        <f t="shared" ref="ADW37" ca="1" si="11942">IF(ADI37&lt;&gt;"",SUMPRODUCT((ADT37:ADT41=ADT37)*(ADO37:ADO41=ADO37)*(ADM37:ADM41&gt;ADM37)),"")</f>
        <v/>
      </c>
      <c r="ADX37" s="319" t="str">
        <f t="shared" ref="ADX37" ca="1" si="11943">IF(ADI37&lt;&gt;"",SUMPRODUCT((ADT37:ADT41=ADT37)*(ADO37:ADO41=ADO37)*(ADM37:ADM41=ADM37)*(ADQ37:ADQ41&gt;ADQ37)),"")</f>
        <v/>
      </c>
      <c r="ADY37" s="319" t="str">
        <f t="shared" ref="ADY37" ca="1" si="11944">IF(ADI37&lt;&gt;"",SUMPRODUCT((ADT37:ADT41=ADT37)*(ADO37:ADO41=ADO37)*(ADM37:ADM41=ADM37)*(ADQ37:ADQ41=ADQ37)*(ADR37:ADR41&gt;ADR37)),"")</f>
        <v/>
      </c>
      <c r="ADZ37" s="319" t="str">
        <f t="shared" ref="ADZ37" ca="1" si="11945">IF(ADI37&lt;&gt;"",SUMPRODUCT((ADT37:ADT41=ADT37)*(ADO37:ADO41=ADO37)*(ADM37:ADM41=ADM37)*(ADQ37:ADQ41=ADQ37)*(ADR37:ADR41=ADR37)*(ADS37:ADS41&gt;ADS37)),"")</f>
        <v/>
      </c>
      <c r="AEA37" s="319" t="str">
        <f ca="1">IF(ADI37&lt;&gt;"",IF(AEA77&lt;&gt;"",IF(ADH76=3,AEA77,AEA77+ADH76),SUM(ADU37:ADZ37)),"")</f>
        <v/>
      </c>
      <c r="AEB37" s="319" t="str">
        <f t="shared" ref="AEB37" ca="1" si="11946">IF(ADI37&lt;&gt;"",INDEX(ADI37:ADI41,MATCH(1,AEA37:AEA41,0),0),"")</f>
        <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4</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2</v>
      </c>
      <c r="AHP37" s="319">
        <f t="shared" ref="AHP37" ca="1" si="11951">SUMPRODUCT((ALL3:ALL42=AHN37)*(ALP3:ALP42="D"))+SUMPRODUCT((ALO3:ALO42=AHN37)*(ALQ3:ALQ42="D"))</f>
        <v>1</v>
      </c>
      <c r="AHQ37" s="319">
        <f t="shared" ref="AHQ37" ca="1" si="11952">SUMPRODUCT((ALL3:ALL42=AHN37)*(ALP3:ALP42="L"))+SUMPRODUCT((ALO3:ALO42=AHN37)*(ALQ3:ALQ42="L"))</f>
        <v>0</v>
      </c>
      <c r="AHR37" s="319">
        <f t="shared" ref="AHR37" ca="1" si="11953">SUMIF(ALL3:ALL60,AHN37,ALM3:ALM60)+SUMIF(ALO3:ALO60,AHN37,ALN3:ALN60)</f>
        <v>7</v>
      </c>
      <c r="AHS37" s="319">
        <f t="shared" ref="AHS37" ca="1" si="11954">SUMIF(ALO3:ALO60,AHN37,ALM3:ALM60)+SUMIF(ALL3:ALL60,AHN37,ALN3:ALN60)</f>
        <v>3</v>
      </c>
      <c r="AHT37" s="319">
        <f t="shared" ref="AHT37:AHT40" ca="1" si="11955">AHR37-AHS37+1000</f>
        <v>1004</v>
      </c>
      <c r="AHU37" s="319">
        <f t="shared" ref="AHU37:AHU40" ca="1" si="11956">AHO37*3+AHP37*1</f>
        <v>7</v>
      </c>
      <c r="AHV37" s="319">
        <f t="shared" si="870"/>
        <v>53</v>
      </c>
      <c r="AHW37" s="319">
        <f t="shared" ref="AHW37" ca="1" si="11957">IF(COUNTIF(AHU37:AHU41,4)&lt;&gt;4,RANK(AHU37,AHU37:AHU41),AHU77)</f>
        <v>1</v>
      </c>
      <c r="AHX37" s="319"/>
      <c r="AHY37" s="319">
        <f t="shared" ref="AHY37" ca="1" si="11958">SUMPRODUCT((AHW37:AHW40=AHW37)*(AHV37:AHV40&lt;AHV37))+AHW37</f>
        <v>2</v>
      </c>
      <c r="AHZ37" s="319" t="str">
        <f t="shared" ref="AHZ37" ca="1" si="11959">INDEX(AHN37:AHN41,MATCH(1,AHY37:AHY41,0),0)</f>
        <v>Türkiye</v>
      </c>
      <c r="AIA37" s="319">
        <f t="shared" ref="AIA37" ca="1" si="11960">INDEX(AHW37:AHW41,MATCH(AHZ37,AHN37:AHN41,0),0)</f>
        <v>1</v>
      </c>
      <c r="AIB37" s="319" t="str">
        <f t="shared" ref="AIB37" ca="1" si="11961">IF(AIA38=1,AHZ37,"")</f>
        <v>Türkiye</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Türkiye</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19">
        <f t="shared" ref="AIM37:AIM40" ca="1" si="11971">AIK37-AIL37+1000</f>
        <v>1000</v>
      </c>
      <c r="AIN37" s="319">
        <f t="shared" ref="AIN37:AIN40" ca="1" si="11972">IF(AIG37&lt;&gt;"",AIH37*3+AII37*1,"")</f>
        <v>1</v>
      </c>
      <c r="AIO37" s="319">
        <f t="shared" ref="AIO37" ca="1" si="11973">IF(AIG37&lt;&gt;"",VLOOKUP(AIG37,AHN4:AHT40,7,FALSE),"")</f>
        <v>1004</v>
      </c>
      <c r="AIP37" s="319">
        <f t="shared" ref="AIP37" ca="1" si="11974">IF(AIG37&lt;&gt;"",VLOOKUP(AIG37,AHN4:AHT40,5,FALSE),"")</f>
        <v>7</v>
      </c>
      <c r="AIQ37" s="319">
        <f t="shared" ref="AIQ37" ca="1" si="11975">IF(AIG37&lt;&gt;"",VLOOKUP(AIG37,AHN4:AHV40,9,FALSE),"")</f>
        <v>47</v>
      </c>
      <c r="AIR37" s="319">
        <f t="shared" ref="AIR37:AIR40" ca="1" si="11976">AIN37</f>
        <v>1</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1</v>
      </c>
      <c r="AIY37" s="319">
        <f ca="1">IF(AIG37&lt;&gt;"",IF(AIY77&lt;&gt;"",IF(AIF76=3,AIY77,AIY77+AIF76),SUM(AIS37:AIX37)),"")</f>
        <v>2</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3</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5</v>
      </c>
      <c r="EE38" s="319">
        <f ca="1">SUMIF(IA3:IA60,DZ38,HY3:HY60)+SUMIF(HX3:HX60,DZ38,HZ3:HZ60)</f>
        <v>6</v>
      </c>
      <c r="EF38" s="319">
        <f t="shared" ca="1" si="11792"/>
        <v>999</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19">
        <f ca="1">FQ38-FR38+1000</f>
        <v>1000</v>
      </c>
      <c r="FT38" s="319">
        <f t="shared" ref="FT38:FT40" ca="1" si="12138">IF(FM38&lt;&gt;"",FN38*3+FO38*1,"")</f>
        <v>1</v>
      </c>
      <c r="FU38" s="319">
        <f ca="1">IF(FM38&lt;&gt;"",VLOOKUP(FM38,DZ4:EF40,7,FALSE),"")</f>
        <v>999</v>
      </c>
      <c r="FV38" s="319">
        <f ca="1">IF(FM38&lt;&gt;"",VLOOKUP(FM38,DZ4:EF40,5,FALSE),"")</f>
        <v>5</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1</v>
      </c>
      <c r="GC38" s="319">
        <f ca="1">IF(FM38&lt;&gt;"",SUMPRODUCT((FX37:FX41=FX38)*(FS37:FS41=FS38)*(FQ37:FQ41=FQ38)*(FU37:FU41=FU38)*(FV37:FV41&gt;FV38)),"")</f>
        <v>0</v>
      </c>
      <c r="GD38" s="319">
        <f ca="1">IF(FM38&lt;&gt;"",SUMPRODUCT((FX37:FX41=FX38)*(FS37:FS41=FS38)*(FQ37:FQ41=FQ38)*(FU37:FU41=FU38)*(FV37:FV41=FV38)*(FW37:FW41&gt;FW38)),"")</f>
        <v>0</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2</v>
      </c>
      <c r="HZ38" s="322">
        <f ca="1">IF(OFFSET('Player Game Board'!Q45,0,HY1)&lt;&gt;"",OFFSET('Player Game Board'!Q45,0,HY1),0)</f>
        <v>2</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1</v>
      </c>
      <c r="IX38" s="319" t="str">
        <f t="shared" ref="IX38:IX40" si="12140">DZ38</f>
        <v>Czechia</v>
      </c>
      <c r="IY38" s="319">
        <f ca="1">SUMPRODUCT((MV3:MV42=IX38)*(MZ3:MZ42="W"))+SUMPRODUCT((MY3:MY42=IX38)*(NA3:NA42="W"))</f>
        <v>2</v>
      </c>
      <c r="IZ38" s="319">
        <f ca="1">SUMPRODUCT((MV3:MV42=IX38)*(MZ3:MZ42="D"))+SUMPRODUCT((MY3:MY42=IX38)*(NA3:NA42="D"))</f>
        <v>1</v>
      </c>
      <c r="JA38" s="319">
        <f ca="1">SUMPRODUCT((MV3:MV42=IX38)*(MZ3:MZ42="L"))+SUMPRODUCT((MY3:MY42=IX38)*(NA3:NA42="L"))</f>
        <v>0</v>
      </c>
      <c r="JB38" s="319">
        <f ca="1">SUMIF(MV3:MV60,IX38,MW3:MW60)+SUMIF(MY3:MY60,IX38,MX3:MX60)</f>
        <v>7</v>
      </c>
      <c r="JC38" s="319">
        <f ca="1">SUMIF(MY3:MY60,IX38,MW3:MW60)+SUMIF(MV3:MV60,IX38,MX3:MX60)</f>
        <v>3</v>
      </c>
      <c r="JD38" s="319">
        <f t="shared" ca="1" si="11796"/>
        <v>1004</v>
      </c>
      <c r="JE38" s="319">
        <f t="shared" ca="1" si="11797"/>
        <v>7</v>
      </c>
      <c r="JF38" s="319">
        <f t="shared" si="618"/>
        <v>37</v>
      </c>
      <c r="JG38" s="319">
        <f ca="1">IF(COUNTIF(JE37:JE41,4)&lt;&gt;4,RANK(JE38,JE37:JE41),JE78)</f>
        <v>1</v>
      </c>
      <c r="JH38" s="319"/>
      <c r="JI38" s="319">
        <f ca="1">SUMPRODUCT((JG37:JG40=JG38)*(JF37:JF40&lt;JF38))+JG38</f>
        <v>1</v>
      </c>
      <c r="JJ38" s="319" t="str">
        <f ca="1">INDEX(IX37:IX41,MATCH(2,JI37:JI41,0),0)</f>
        <v>Portugal</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Portugal</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101</v>
      </c>
      <c r="NT38" s="319"/>
      <c r="NU38" s="319">
        <f t="shared" ref="NU38" ca="1" si="12144">VLOOKUP(NV38,RQ37:RR41,2,FALSE)</f>
        <v>3</v>
      </c>
      <c r="NV38" s="319" t="str">
        <f t="shared" si="11801"/>
        <v>Czechia</v>
      </c>
      <c r="NW38" s="319">
        <f t="shared" ref="NW38" ca="1" si="12145">SUMPRODUCT((RT3:RT42=NV38)*(RX3:RX42="W"))+SUMPRODUCT((RW3:RW42=NV38)*(RY3:RY42="W"))</f>
        <v>1</v>
      </c>
      <c r="NX38" s="319">
        <f t="shared" ref="NX38" ca="1" si="12146">SUMPRODUCT((RT3:RT42=NV38)*(RX3:RX42="D"))+SUMPRODUCT((RW3:RW42=NV38)*(RY3:RY42="D"))</f>
        <v>0</v>
      </c>
      <c r="NY38" s="319">
        <f t="shared" ref="NY38" ca="1" si="12147">SUMPRODUCT((RT3:RT42=NV38)*(RX3:RX42="L"))+SUMPRODUCT((RW3:RW42=NV38)*(RY3:RY42="L"))</f>
        <v>2</v>
      </c>
      <c r="NZ38" s="319">
        <f t="shared" ref="NZ38" ca="1" si="12148">SUMIF(RT3:RT60,NV38,RU3:RU60)+SUMIF(RW3:RW60,NV38,RV3:RV60)</f>
        <v>2</v>
      </c>
      <c r="OA38" s="319">
        <f t="shared" ref="OA38" ca="1" si="12149">SUMIF(RW3:RW60,NV38,RU3:RU60)+SUMIF(RT3:RT60,NV38,RV3:RV60)</f>
        <v>4</v>
      </c>
      <c r="OB38" s="319">
        <f t="shared" ca="1" si="11807"/>
        <v>998</v>
      </c>
      <c r="OC38" s="319">
        <f t="shared" ca="1" si="11808"/>
        <v>3</v>
      </c>
      <c r="OD38" s="319">
        <f t="shared" si="630"/>
        <v>37</v>
      </c>
      <c r="OE38" s="319">
        <f t="shared" ref="OE38" ca="1" si="12150">IF(COUNTIF(OC37:OC41,4)&lt;&gt;4,RANK(OC38,OC37:OC41),OC78)</f>
        <v>3</v>
      </c>
      <c r="OF38" s="319"/>
      <c r="OG38" s="319">
        <f t="shared" ref="OG38" ca="1" si="12151">SUMPRODUCT((OE37:OE40=OE38)*(OD37:OD40&lt;OD38))+OE38</f>
        <v>3</v>
      </c>
      <c r="OH38" s="319" t="str">
        <f t="shared" ref="OH38" ca="1" si="12152">INDEX(NV37:NV41,MATCH(2,OG37:OG41,0),0)</f>
        <v>Portugal</v>
      </c>
      <c r="OI38" s="319">
        <f t="shared" ref="OI38" ca="1" si="12153">INDEX(OE37:OE41,MATCH(OH38,NV37:NV41,0),0)</f>
        <v>1</v>
      </c>
      <c r="OJ38" s="319" t="str">
        <f t="shared" ref="OJ38" ca="1" si="12154">IF(OJ37&lt;&gt;"",OH38,"")</f>
        <v>Portugal</v>
      </c>
      <c r="OK38" s="319" t="str">
        <f t="shared" ref="OK38" ca="1" si="12155">IF(OK37&lt;&gt;"",OH39,"")</f>
        <v/>
      </c>
      <c r="OL38" s="319" t="str">
        <f t="shared" ref="OL38" ca="1" si="12156">IF(OL37&lt;&gt;"",OH40,"")</f>
        <v/>
      </c>
      <c r="OM38" s="319" t="str">
        <f t="shared" ref="OM38" si="12157">IF(OM37&lt;&gt;"",OH41,"")</f>
        <v/>
      </c>
      <c r="ON38" s="319"/>
      <c r="OO38" s="319" t="str">
        <f t="shared" ca="1" si="11817"/>
        <v>Portugal</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19">
        <f t="shared" ca="1" si="11823"/>
        <v>1000</v>
      </c>
      <c r="OV38" s="319">
        <f t="shared" ca="1" si="11824"/>
        <v>1</v>
      </c>
      <c r="OW38" s="319">
        <f t="shared" ref="OW38" ca="1" si="12163">IF(OO38&lt;&gt;"",VLOOKUP(OO38,NV4:OB40,7,FALSE),"")</f>
        <v>1003</v>
      </c>
      <c r="OX38" s="319">
        <f t="shared" ref="OX38" ca="1" si="12164">IF(OO38&lt;&gt;"",VLOOKUP(OO38,NV4:OB40,5,FALSE),"")</f>
        <v>4</v>
      </c>
      <c r="OY38" s="319">
        <f t="shared" ref="OY38" ca="1" si="12165">IF(OO38&lt;&gt;"",VLOOKUP(OO38,NV4:OD40,9,FALSE),"")</f>
        <v>53</v>
      </c>
      <c r="OZ38" s="319">
        <f t="shared" ca="1" si="11828"/>
        <v>1</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1</v>
      </c>
      <c r="PF38" s="319">
        <f t="shared" ref="PF38" ca="1" si="12171">IF(OO38&lt;&gt;"",SUMPRODUCT((OZ37:OZ41=OZ38)*(OU37:OU41=OU38)*(OS37:OS41=OS38)*(OW37:OW41=OW38)*(OX37:OX41=OX38)*(OY37:OY41&gt;OY38)),"")</f>
        <v>0</v>
      </c>
      <c r="PG38" s="319">
        <f ca="1">IF(OO38&lt;&gt;"",IF(PG78&lt;&gt;"",IF(ON76=3,PG78,PG78+ON76),SUM(PA38:PF38)),"")</f>
        <v>2</v>
      </c>
      <c r="PH38" s="319" t="str">
        <f t="shared" ref="PH38" ca="1" si="12172">IF(OO38&lt;&gt;"",INDEX(OO37:OO41,MATCH(2,PG37:PG41,0),0),"")</f>
        <v>Portugal</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Portugal</v>
      </c>
      <c r="RR38" s="319">
        <v>2</v>
      </c>
      <c r="RS38" s="319">
        <v>36</v>
      </c>
      <c r="RT38" s="319" t="str">
        <f t="shared" si="18"/>
        <v>Czechia</v>
      </c>
      <c r="RU38" s="322">
        <f ca="1">IF(OFFSET('Player Game Board'!P45,0,RU1)&lt;&gt;"",OFFSET('Player Game Board'!P45,0,RU1),0)</f>
        <v>1</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101</v>
      </c>
      <c r="SR38" s="319"/>
      <c r="SS38" s="319">
        <f t="shared" ref="SS38" ca="1" si="12193">VLOOKUP(ST38,WO37:WP41,2,FALSE)</f>
        <v>3</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2</v>
      </c>
      <c r="SY38" s="319">
        <f t="shared" ref="SY38" ca="1" si="12198">SUMIF(WU3:WU60,ST38,WS3:WS60)+SUMIF(WR3:WR60,ST38,WT3:WT60)</f>
        <v>2</v>
      </c>
      <c r="SZ38" s="319">
        <f t="shared" ca="1" si="11844"/>
        <v>1000</v>
      </c>
      <c r="TA38" s="319">
        <f t="shared" ca="1" si="11845"/>
        <v>4</v>
      </c>
      <c r="TB38" s="319">
        <f t="shared" si="690"/>
        <v>37</v>
      </c>
      <c r="TC38" s="319">
        <f t="shared" ref="TC38" ca="1" si="12199">IF(COUNTIF(TA37:TA41,4)&lt;&gt;4,RANK(TA38,TA37:TA41),TA78)</f>
        <v>3</v>
      </c>
      <c r="TD38" s="319"/>
      <c r="TE38" s="319">
        <f t="shared" ref="TE38" ca="1" si="12200">SUMPRODUCT((TC37:TC40=TC38)*(TB37:TB40&lt;TB38))+TC38</f>
        <v>3</v>
      </c>
      <c r="TF38" s="319" t="str">
        <f t="shared" ref="TF38" ca="1" si="12201">INDEX(ST37:ST41,MATCH(2,TE37:TE41,0),0)</f>
        <v>Türkiye</v>
      </c>
      <c r="TG38" s="319">
        <f t="shared" ref="TG38" ca="1" si="12202">INDEX(TC37:TC41,MATCH(TF38,ST37:ST41,0),0)</f>
        <v>2</v>
      </c>
      <c r="TH38" s="319" t="str">
        <f t="shared" ref="TH38" ca="1" si="12203">IF(TH37&lt;&gt;"",TF38,"")</f>
        <v/>
      </c>
      <c r="TI38" s="319" t="str">
        <f t="shared" ref="TI38" ca="1" si="12204">IF(TI37&lt;&gt;"",TF39,"")</f>
        <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1</v>
      </c>
      <c r="WT38" s="322">
        <f ca="1">IF(OFFSET('Player Game Board'!Q45,0,WS1)&lt;&gt;"",OFFSET('Player Game Board'!Q45,0,WS1),0)</f>
        <v>1</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101</v>
      </c>
      <c r="XP38" s="319"/>
      <c r="XQ38" s="319">
        <f t="shared" ref="XQ38" ca="1" si="12242">VLOOKUP(XR38,ABM37:ABN41,2,FALSE)</f>
        <v>3</v>
      </c>
      <c r="XR38" s="319" t="str">
        <f t="shared" si="11875"/>
        <v>Czechia</v>
      </c>
      <c r="XS38" s="319">
        <f t="shared" ref="XS38" ca="1" si="12243">SUMPRODUCT((ABP3:ABP42=XR38)*(ABT3:ABT42="W"))+SUMPRODUCT((ABS3:ABS42=XR38)*(ABU3:ABU42="W"))</f>
        <v>0</v>
      </c>
      <c r="XT38" s="319">
        <f t="shared" ref="XT38" ca="1" si="12244">SUMPRODUCT((ABP3:ABP42=XR38)*(ABT3:ABT42="D"))+SUMPRODUCT((ABS3:ABS42=XR38)*(ABU3:ABU42="D"))</f>
        <v>1</v>
      </c>
      <c r="XU38" s="319">
        <f t="shared" ref="XU38" ca="1" si="12245">SUMPRODUCT((ABP3:ABP42=XR38)*(ABT3:ABT42="L"))+SUMPRODUCT((ABS3:ABS42=XR38)*(ABU3:ABU42="L"))</f>
        <v>2</v>
      </c>
      <c r="XV38" s="319">
        <f t="shared" ref="XV38" ca="1" si="12246">SUMIF(ABP3:ABP60,XR38,ABQ3:ABQ60)+SUMIF(ABS3:ABS60,XR38,ABR3:ABR60)</f>
        <v>3</v>
      </c>
      <c r="XW38" s="319">
        <f t="shared" ref="XW38" ca="1" si="12247">SUMIF(ABS3:ABS60,XR38,ABQ3:ABQ60)+SUMIF(ABP3:ABP60,XR38,ABR3:ABR60)</f>
        <v>6</v>
      </c>
      <c r="XX38" s="319">
        <f t="shared" ca="1" si="11881"/>
        <v>997</v>
      </c>
      <c r="XY38" s="319">
        <f t="shared" ca="1" si="11882"/>
        <v>1</v>
      </c>
      <c r="XZ38" s="319">
        <f t="shared" si="750"/>
        <v>37</v>
      </c>
      <c r="YA38" s="319">
        <f t="shared" ref="YA38" ca="1" si="12248">IF(COUNTIF(XY37:XY41,4)&lt;&gt;4,RANK(XY38,XY37:XY41),XY78)</f>
        <v>3</v>
      </c>
      <c r="YB38" s="319"/>
      <c r="YC38" s="319">
        <f t="shared" ref="YC38" ca="1" si="12249">SUMPRODUCT((YA37:YA40=YA38)*(XZ37:XZ40&lt;XZ38))+YA38</f>
        <v>4</v>
      </c>
      <c r="YD38" s="319" t="str">
        <f t="shared" ref="YD38" ca="1" si="12250">INDEX(XR37:XR41,MATCH(2,YC37:YC41,0),0)</f>
        <v>Portugal</v>
      </c>
      <c r="YE38" s="319">
        <f t="shared" ref="YE38" ca="1" si="12251">INDEX(YA37:YA41,MATCH(YD38,XR37:XR41,0),0)</f>
        <v>1</v>
      </c>
      <c r="YF38" s="319" t="str">
        <f t="shared" ref="YF38" ca="1" si="12252">IF(YF37&lt;&gt;"",YD38,"")</f>
        <v>Portugal</v>
      </c>
      <c r="YG38" s="319" t="str">
        <f t="shared" ref="YG38" ca="1" si="12253">IF(YG37&lt;&gt;"",YD39,"")</f>
        <v/>
      </c>
      <c r="YH38" s="319" t="str">
        <f t="shared" ref="YH38" ca="1" si="12254">IF(YH37&lt;&gt;"",YD40,"")</f>
        <v>Czechia</v>
      </c>
      <c r="YI38" s="319" t="str">
        <f t="shared" ref="YI38" si="12255">IF(YI37&lt;&gt;"",YD41,"")</f>
        <v/>
      </c>
      <c r="YJ38" s="319"/>
      <c r="YK38" s="319" t="str">
        <f t="shared" ca="1" si="11891"/>
        <v>Portugal</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19">
        <f t="shared" ca="1" si="11897"/>
        <v>1000</v>
      </c>
      <c r="YR38" s="319">
        <f t="shared" ca="1" si="11898"/>
        <v>1</v>
      </c>
      <c r="YS38" s="319">
        <f t="shared" ref="YS38" ca="1" si="12261">IF(YK38&lt;&gt;"",VLOOKUP(YK38,XR4:XX40,7,FALSE),"")</f>
        <v>1006</v>
      </c>
      <c r="YT38" s="319">
        <f t="shared" ref="YT38" ca="1" si="12262">IF(YK38&lt;&gt;"",VLOOKUP(YK38,XR4:XX40,5,FALSE),"")</f>
        <v>9</v>
      </c>
      <c r="YU38" s="319">
        <f t="shared" ref="YU38" ca="1" si="12263">IF(YK38&lt;&gt;"",VLOOKUP(YK38,XR4:XZ40,9,FALSE),"")</f>
        <v>53</v>
      </c>
      <c r="YV38" s="319">
        <f t="shared" ca="1" si="11902"/>
        <v>1</v>
      </c>
      <c r="YW38" s="319">
        <f t="shared" ref="YW38" ca="1" si="12264">IF(YK38&lt;&gt;"",RANK(YV38,YV37:YV41),"")</f>
        <v>1</v>
      </c>
      <c r="YX38" s="319">
        <f t="shared" ref="YX38" ca="1" si="12265">IF(YK38&lt;&gt;"",SUMPRODUCT((YV37:YV41=YV38)*(YQ37:YQ41&gt;YQ38)),"")</f>
        <v>0</v>
      </c>
      <c r="YY38" s="319">
        <f t="shared" ref="YY38" ca="1" si="12266">IF(YK38&lt;&gt;"",SUMPRODUCT((YV37:YV41=YV38)*(YQ37:YQ41=YQ38)*(YO37:YO41&gt;YO38)),"")</f>
        <v>0</v>
      </c>
      <c r="YZ38" s="319">
        <f t="shared" ref="YZ38" ca="1" si="12267">IF(YK38&lt;&gt;"",SUMPRODUCT((YV37:YV41=YV38)*(YQ37:YQ41=YQ38)*(YO37:YO41=YO38)*(YS37:YS41&gt;YS38)),"")</f>
        <v>0</v>
      </c>
      <c r="ZA38" s="319">
        <f t="shared" ref="ZA38" ca="1" si="12268">IF(YK38&lt;&gt;"",SUMPRODUCT((YV37:YV41=YV38)*(YQ37:YQ41=YQ38)*(YO37:YO41=YO38)*(YS37:YS41=YS38)*(YT37:YT41&gt;YT38)),"")</f>
        <v>0</v>
      </c>
      <c r="ZB38" s="319">
        <f t="shared" ref="ZB38" ca="1" si="12269">IF(YK38&lt;&gt;"",SUMPRODUCT((YV37:YV41=YV38)*(YQ37:YQ41=YQ38)*(YO37:YO41=YO38)*(YS37:YS41=YS38)*(YT37:YT41=YT38)*(YU37:YU41&gt;YU38)),"")</f>
        <v>0</v>
      </c>
      <c r="ZC38" s="319">
        <f ca="1">IF(YK38&lt;&gt;"",IF(ZC78&lt;&gt;"",IF(YJ76=3,ZC78,ZC78+YJ76),SUM(YW38:ZB38)),"")</f>
        <v>1</v>
      </c>
      <c r="ZD38" s="319" t="str">
        <f t="shared" ref="ZD38" ca="1" si="12270">IF(YK38&lt;&gt;"",INDEX(YK37:YK41,MATCH(2,ZC37:ZC41,0),0),"")</f>
        <v>Türkiye</v>
      </c>
      <c r="ZE38" s="319" t="str">
        <f t="shared" ref="ZE38:ZE40" ca="1" si="12271">IF(YG37&lt;&gt;"",YG37,"")</f>
        <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19">
        <f t="shared" ref="ZK38:ZK40" ca="1" si="12277">ZI38-ZJ38+1000</f>
        <v>1000</v>
      </c>
      <c r="ZL38" s="319" t="str">
        <f t="shared" ref="ZL38:ZL40" ca="1" si="12278">IF(ZE38&lt;&gt;"",ZF38*3+ZG38*1,"")</f>
        <v/>
      </c>
      <c r="ZM38" s="319" t="str">
        <f t="shared" ref="ZM38" ca="1" si="12279">IF(ZE38&lt;&gt;"",VLOOKUP(ZE38,XR4:XX40,7,FALSE),"")</f>
        <v/>
      </c>
      <c r="ZN38" s="319" t="str">
        <f t="shared" ref="ZN38" ca="1" si="12280">IF(ZE38&lt;&gt;"",VLOOKUP(ZE38,XR4:XX40,5,FALSE),"")</f>
        <v/>
      </c>
      <c r="ZO38" s="319" t="str">
        <f t="shared" ref="ZO38" ca="1" si="12281">IF(ZE38&lt;&gt;"",VLOOKUP(ZE38,XR4:XZ40,9,FALSE),"")</f>
        <v/>
      </c>
      <c r="ZP38" s="319" t="str">
        <f t="shared" ref="ZP38:ZP40" ca="1" si="12282">ZL38</f>
        <v/>
      </c>
      <c r="ZQ38" s="319" t="str">
        <f t="shared" ref="ZQ38" ca="1" si="12283">IF(ZE38&lt;&gt;"",RANK(ZP38,ZP37:ZP40),"")</f>
        <v/>
      </c>
      <c r="ZR38" s="319" t="str">
        <f t="shared" ref="ZR38" ca="1" si="12284">IF(ZE38&lt;&gt;"",SUMPRODUCT((ZP37:ZP41=ZP38)*(ZK37:ZK41&gt;ZK38)),"")</f>
        <v/>
      </c>
      <c r="ZS38" s="319" t="str">
        <f t="shared" ref="ZS38" ca="1" si="12285">IF(ZE38&lt;&gt;"",SUMPRODUCT((ZP37:ZP41=ZP38)*(ZK37:ZK41=ZK38)*(ZI37:ZI41&gt;ZI38)),"")</f>
        <v/>
      </c>
      <c r="ZT38" s="319" t="str">
        <f t="shared" ref="ZT38" ca="1" si="12286">IF(ZE38&lt;&gt;"",SUMPRODUCT((ZP37:ZP41=ZP38)*(ZK37:ZK41=ZK38)*(ZI37:ZI41=ZI38)*(ZM37:ZM41&gt;ZM38)),"")</f>
        <v/>
      </c>
      <c r="ZU38" s="319" t="str">
        <f t="shared" ref="ZU38" ca="1" si="12287">IF(ZE38&lt;&gt;"",SUMPRODUCT((ZP37:ZP41=ZP38)*(ZK37:ZK41=ZK38)*(ZI37:ZI41=ZI38)*(ZM37:ZM41=ZM38)*(ZN37:ZN41&gt;ZN38)),"")</f>
        <v/>
      </c>
      <c r="ZV38" s="319" t="str">
        <f t="shared" ref="ZV38" ca="1" si="12288">IF(ZE38&lt;&gt;"",SUMPRODUCT((ZP37:ZP41=ZP38)*(ZK37:ZK41=ZK38)*(ZI37:ZI41=ZI38)*(ZM37:ZM41=ZM38)*(ZN37:ZN41=ZN38)*(ZO37:ZO41&gt;ZO38)),"")</f>
        <v/>
      </c>
      <c r="ZW38" s="319" t="str">
        <f ca="1">IF(ZE38&lt;&gt;"",IF(ZW78&lt;&gt;"",IF(ZD76=3,ZW78,ZW78+ZD76),SUM(ZQ38:ZV38)+1),"")</f>
        <v/>
      </c>
      <c r="ZX38" s="319" t="str">
        <f t="shared" ref="ZX38" ca="1" si="12289">IF(ZE38&lt;&gt;"",INDEX(ZE38:ZE41,MATCH(2,ZW38:ZW41,0),0),"")</f>
        <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Türkiye</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101</v>
      </c>
      <c r="ACN38" s="319"/>
      <c r="ACO38" s="319">
        <f t="shared" ref="ACO38" ca="1" si="12291">VLOOKUP(ACP38,AGK37:AGL41,2,FALSE)</f>
        <v>2</v>
      </c>
      <c r="ACP38" s="319" t="str">
        <f t="shared" si="11912"/>
        <v>Czechia</v>
      </c>
      <c r="ACQ38" s="319">
        <f t="shared" ref="ACQ38" ca="1" si="12292">SUMPRODUCT((AGN3:AGN42=ACP38)*(AGR3:AGR42="W"))+SUMPRODUCT((AGQ3:AGQ42=ACP38)*(AGS3:AGS42="W"))</f>
        <v>1</v>
      </c>
      <c r="ACR38" s="319">
        <f t="shared" ref="ACR38" ca="1" si="12293">SUMPRODUCT((AGN3:AGN42=ACP38)*(AGR3:AGR42="D"))+SUMPRODUCT((AGQ3:AGQ42=ACP38)*(AGS3:AGS42="D"))</f>
        <v>1</v>
      </c>
      <c r="ACS38" s="319">
        <f t="shared" ref="ACS38" ca="1" si="12294">SUMPRODUCT((AGN3:AGN42=ACP38)*(AGR3:AGR42="L"))+SUMPRODUCT((AGQ3:AGQ42=ACP38)*(AGS3:AGS42="L"))</f>
        <v>1</v>
      </c>
      <c r="ACT38" s="319">
        <f t="shared" ref="ACT38" ca="1" si="12295">SUMIF(AGN3:AGN60,ACP38,AGO3:AGO60)+SUMIF(AGQ3:AGQ60,ACP38,AGP3:AGP60)</f>
        <v>6</v>
      </c>
      <c r="ACU38" s="319">
        <f t="shared" ref="ACU38" ca="1" si="12296">SUMIF(AGQ3:AGQ60,ACP38,AGO3:AGO60)+SUMIF(AGN3:AGN60,ACP38,AGP3:AGP60)</f>
        <v>5</v>
      </c>
      <c r="ACV38" s="319">
        <f t="shared" ca="1" si="11918"/>
        <v>1001</v>
      </c>
      <c r="ACW38" s="319">
        <f t="shared" ca="1" si="11919"/>
        <v>4</v>
      </c>
      <c r="ACX38" s="319">
        <f t="shared" si="810"/>
        <v>37</v>
      </c>
      <c r="ACY38" s="319">
        <f t="shared" ref="ACY38" ca="1" si="12297">IF(COUNTIF(ACW37:ACW41,4)&lt;&gt;4,RANK(ACW38,ACW37:ACW41),ACW78)</f>
        <v>2</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2</v>
      </c>
      <c r="ADD38" s="319" t="str">
        <f t="shared" ref="ADD38" ca="1" si="12301">IF(ADD37&lt;&gt;"",ADB38,"")</f>
        <v/>
      </c>
      <c r="ADE38" s="319" t="str">
        <f t="shared" ref="ADE38" ca="1" si="12302">IF(ADE37&lt;&gt;"",ADB39,"")</f>
        <v>Türkiye</v>
      </c>
      <c r="ADF38" s="319" t="str">
        <f t="shared" ref="ADF38" ca="1" si="12303">IF(ADF37&lt;&gt;"",ADB40,"")</f>
        <v/>
      </c>
      <c r="ADG38" s="319" t="str">
        <f t="shared" ref="ADG38" si="12304">IF(ADG37&lt;&gt;"",ADB41,"")</f>
        <v/>
      </c>
      <c r="ADH38" s="319"/>
      <c r="ADI38" s="319" t="str">
        <f t="shared" ca="1" si="11928"/>
        <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t="str">
        <f t="shared" ca="1" si="11935"/>
        <v/>
      </c>
      <c r="ADQ38" s="319" t="str">
        <f t="shared" ref="ADQ38" ca="1" si="12310">IF(ADI38&lt;&gt;"",VLOOKUP(ADI38,ACP4:ACV40,7,FALSE),"")</f>
        <v/>
      </c>
      <c r="ADR38" s="319" t="str">
        <f t="shared" ref="ADR38" ca="1" si="12311">IF(ADI38&lt;&gt;"",VLOOKUP(ADI38,ACP4:ACV40,5,FALSE),"")</f>
        <v/>
      </c>
      <c r="ADS38" s="319" t="str">
        <f t="shared" ref="ADS38" ca="1" si="12312">IF(ADI38&lt;&gt;"",VLOOKUP(ADI38,ACP4:ACX40,9,FALSE),"")</f>
        <v/>
      </c>
      <c r="ADT38" s="319" t="str">
        <f t="shared" ca="1" si="11939"/>
        <v/>
      </c>
      <c r="ADU38" s="319" t="str">
        <f t="shared" ref="ADU38" ca="1" si="12313">IF(ADI38&lt;&gt;"",RANK(ADT38,ADT37:ADT41),"")</f>
        <v/>
      </c>
      <c r="ADV38" s="319" t="str">
        <f t="shared" ref="ADV38" ca="1" si="12314">IF(ADI38&lt;&gt;"",SUMPRODUCT((ADT37:ADT41=ADT38)*(ADO37:ADO41&gt;ADO38)),"")</f>
        <v/>
      </c>
      <c r="ADW38" s="319" t="str">
        <f t="shared" ref="ADW38" ca="1" si="12315">IF(ADI38&lt;&gt;"",SUMPRODUCT((ADT37:ADT41=ADT38)*(ADO37:ADO41=ADO38)*(ADM37:ADM41&gt;ADM38)),"")</f>
        <v/>
      </c>
      <c r="ADX38" s="319" t="str">
        <f t="shared" ref="ADX38" ca="1" si="12316">IF(ADI38&lt;&gt;"",SUMPRODUCT((ADT37:ADT41=ADT38)*(ADO37:ADO41=ADO38)*(ADM37:ADM41=ADM38)*(ADQ37:ADQ41&gt;ADQ38)),"")</f>
        <v/>
      </c>
      <c r="ADY38" s="319" t="str">
        <f t="shared" ref="ADY38" ca="1" si="12317">IF(ADI38&lt;&gt;"",SUMPRODUCT((ADT37:ADT41=ADT38)*(ADO37:ADO41=ADO38)*(ADM37:ADM41=ADM38)*(ADQ37:ADQ41=ADQ38)*(ADR37:ADR41&gt;ADR38)),"")</f>
        <v/>
      </c>
      <c r="ADZ38" s="319" t="str">
        <f t="shared" ref="ADZ38" ca="1" si="12318">IF(ADI38&lt;&gt;"",SUMPRODUCT((ADT37:ADT41=ADT38)*(ADO37:ADO41=ADO38)*(ADM37:ADM41=ADM38)*(ADQ37:ADQ41=ADQ38)*(ADR37:ADR41=ADR38)*(ADS37:ADS41&gt;ADS38)),"")</f>
        <v/>
      </c>
      <c r="AEA38" s="319" t="str">
        <f ca="1">IF(ADI38&lt;&gt;"",IF(AEA78&lt;&gt;"",IF(ADH76=3,AEA78,AEA78+ADH76),SUM(ADU38:ADZ38)),"")</f>
        <v/>
      </c>
      <c r="AEB38" s="319" t="str">
        <f t="shared" ref="AEB38" ca="1" si="12319">IF(ADI38&lt;&gt;"",INDEX(ADI37:ADI41,MATCH(2,AEA37:AEA41,0),0),"")</f>
        <v/>
      </c>
      <c r="AEC38" s="319" t="str">
        <f t="shared" ref="AEC38:AEC40" ca="1" si="12320">IF(ADE37&lt;&gt;"",ADE37,"")</f>
        <v>Czechia</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19">
        <f t="shared" ref="AEI38:AEI40" ca="1" si="12326">AEG38-AEH38+1000</f>
        <v>1000</v>
      </c>
      <c r="AEJ38" s="319">
        <f t="shared" ref="AEJ38:AEJ40" ca="1" si="12327">IF(AEC38&lt;&gt;"",AED38*3+AEE38*1,"")</f>
        <v>1</v>
      </c>
      <c r="AEK38" s="319">
        <f t="shared" ref="AEK38" ca="1" si="12328">IF(AEC38&lt;&gt;"",VLOOKUP(AEC38,ACP4:ACV40,7,FALSE),"")</f>
        <v>1001</v>
      </c>
      <c r="AEL38" s="319">
        <f t="shared" ref="AEL38" ca="1" si="12329">IF(AEC38&lt;&gt;"",VLOOKUP(AEC38,ACP4:ACV40,5,FALSE),"")</f>
        <v>6</v>
      </c>
      <c r="AEM38" s="319">
        <f t="shared" ref="AEM38" ca="1" si="12330">IF(AEC38&lt;&gt;"",VLOOKUP(AEC38,ACP4:ACX40,9,FALSE),"")</f>
        <v>37</v>
      </c>
      <c r="AEN38" s="319">
        <f t="shared" ref="AEN38:AEN40" ca="1" si="12331">AEJ38</f>
        <v>1</v>
      </c>
      <c r="AEO38" s="319">
        <f t="shared" ref="AEO38" ca="1" si="12332">IF(AEC38&lt;&gt;"",RANK(AEN38,AEN37:AEN40),"")</f>
        <v>1</v>
      </c>
      <c r="AEP38" s="319">
        <f t="shared" ref="AEP38" ca="1" si="12333">IF(AEC38&lt;&gt;"",SUMPRODUCT((AEN37:AEN41=AEN38)*(AEI37:AEI41&gt;AEI38)),"")</f>
        <v>0</v>
      </c>
      <c r="AEQ38" s="319">
        <f t="shared" ref="AEQ38" ca="1" si="12334">IF(AEC38&lt;&gt;"",SUMPRODUCT((AEN37:AEN41=AEN38)*(AEI37:AEI41=AEI38)*(AEG37:AEG41&gt;AEG38)),"")</f>
        <v>0</v>
      </c>
      <c r="AER38" s="319">
        <f t="shared" ref="AER38" ca="1" si="12335">IF(AEC38&lt;&gt;"",SUMPRODUCT((AEN37:AEN41=AEN38)*(AEI37:AEI41=AEI38)*(AEG37:AEG41=AEG38)*(AEK37:AEK41&gt;AEK38)),"")</f>
        <v>0</v>
      </c>
      <c r="AES38" s="319">
        <f t="shared" ref="AES38" ca="1" si="12336">IF(AEC38&lt;&gt;"",SUMPRODUCT((AEN37:AEN41=AEN38)*(AEI37:AEI41=AEI38)*(AEG37:AEG41=AEG38)*(AEK37:AEK41=AEK38)*(AEL37:AEL41&gt;AEL38)),"")</f>
        <v>0</v>
      </c>
      <c r="AET38" s="319">
        <f t="shared" ref="AET38" ca="1" si="12337">IF(AEC38&lt;&gt;"",SUMPRODUCT((AEN37:AEN41=AEN38)*(AEI37:AEI41=AEI38)*(AEG37:AEG41=AEG38)*(AEK37:AEK41=AEK38)*(AEL37:AEL41=AEL38)*(AEM37:AEM41&gt;AEM38)),"")</f>
        <v>0</v>
      </c>
      <c r="AEU38" s="319">
        <f ca="1">IF(AEC38&lt;&gt;"",IF(AEU78&lt;&gt;"",IF(AEB76=3,AEU78,AEU78+AEB76),SUM(AEO38:AET38)+1),"")</f>
        <v>2</v>
      </c>
      <c r="AEV38" s="319" t="str">
        <f t="shared" ref="AEV38" ca="1" si="12338">IF(AEC38&lt;&gt;"",INDEX(AEC38:AEC41,MATCH(2,AEU38:AEU41,0),0),"")</f>
        <v>Czechia</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101</v>
      </c>
      <c r="AHL38" s="319"/>
      <c r="AHM38" s="319">
        <f t="shared" ref="AHM38" ca="1" si="12340">VLOOKUP(AHN38,ALI37:ALJ41,2,FALSE)</f>
        <v>3</v>
      </c>
      <c r="AHN38" s="319" t="str">
        <f t="shared" si="11949"/>
        <v>Czechia</v>
      </c>
      <c r="AHO38" s="319">
        <f t="shared" ref="AHO38" ca="1" si="12341">SUMPRODUCT((ALL3:ALL42=AHN38)*(ALP3:ALP42="W"))+SUMPRODUCT((ALO3:ALO42=AHN38)*(ALQ3:ALQ42="W"))</f>
        <v>1</v>
      </c>
      <c r="AHP38" s="319">
        <f t="shared" ref="AHP38" ca="1" si="12342">SUMPRODUCT((ALL3:ALL42=AHN38)*(ALP3:ALP42="D"))+SUMPRODUCT((ALO3:ALO42=AHN38)*(ALQ3:ALQ42="D"))</f>
        <v>0</v>
      </c>
      <c r="AHQ38" s="319">
        <f t="shared" ref="AHQ38" ca="1" si="12343">SUMPRODUCT((ALL3:ALL42=AHN38)*(ALP3:ALP42="L"))+SUMPRODUCT((ALO3:ALO42=AHN38)*(ALQ3:ALQ42="L"))</f>
        <v>2</v>
      </c>
      <c r="AHR38" s="319">
        <f t="shared" ref="AHR38" ca="1" si="12344">SUMIF(ALL3:ALL60,AHN38,ALM3:ALM60)+SUMIF(ALO3:ALO60,AHN38,ALN3:ALN60)</f>
        <v>4</v>
      </c>
      <c r="AHS38" s="319">
        <f t="shared" ref="AHS38" ca="1" si="12345">SUMIF(ALO3:ALO60,AHN38,ALM3:ALM60)+SUMIF(ALL3:ALL60,AHN38,ALN3:ALN60)</f>
        <v>4</v>
      </c>
      <c r="AHT38" s="319">
        <f t="shared" ca="1" si="11955"/>
        <v>1000</v>
      </c>
      <c r="AHU38" s="319">
        <f t="shared" ca="1" si="11956"/>
        <v>3</v>
      </c>
      <c r="AHV38" s="319">
        <f t="shared" si="870"/>
        <v>37</v>
      </c>
      <c r="AHW38" s="319">
        <f t="shared" ref="AHW38" ca="1" si="12346">IF(COUNTIF(AHU37:AHU41,4)&lt;&gt;4,RANK(AHU38,AHU37:AHU41),AHU78)</f>
        <v>3</v>
      </c>
      <c r="AHX38" s="319"/>
      <c r="AHY38" s="319">
        <f t="shared" ref="AHY38" ca="1" si="12347">SUMPRODUCT((AHW37:AHW40=AHW38)*(AHV37:AHV40&lt;AHV38))+AHW38</f>
        <v>3</v>
      </c>
      <c r="AHZ38" s="319" t="str">
        <f t="shared" ref="AHZ38" ca="1" si="12348">INDEX(AHN37:AHN41,MATCH(2,AHY37:AHY41,0),0)</f>
        <v>Portugal</v>
      </c>
      <c r="AIA38" s="319">
        <f t="shared" ref="AIA38" ca="1" si="12349">INDEX(AHW37:AHW41,MATCH(AHZ38,AHN37:AHN41,0),0)</f>
        <v>1</v>
      </c>
      <c r="AIB38" s="319" t="str">
        <f t="shared" ref="AIB38" ca="1" si="12350">IF(AIB37&lt;&gt;"",AHZ38,"")</f>
        <v>Portugal</v>
      </c>
      <c r="AIC38" s="319" t="str">
        <f t="shared" ref="AIC38" ca="1" si="12351">IF(AIC37&lt;&gt;"",AHZ39,"")</f>
        <v/>
      </c>
      <c r="AID38" s="319" t="str">
        <f t="shared" ref="AID38" ca="1" si="12352">IF(AID37&lt;&gt;"",AHZ40,"")</f>
        <v/>
      </c>
      <c r="AIE38" s="319" t="str">
        <f t="shared" ref="AIE38" si="12353">IF(AIE37&lt;&gt;"",AHZ41,"")</f>
        <v/>
      </c>
      <c r="AIF38" s="319"/>
      <c r="AIG38" s="319" t="str">
        <f t="shared" ca="1" si="11965"/>
        <v>Portugal</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19">
        <f t="shared" ca="1" si="11971"/>
        <v>1000</v>
      </c>
      <c r="AIN38" s="319">
        <f t="shared" ca="1" si="11972"/>
        <v>1</v>
      </c>
      <c r="AIO38" s="319">
        <f t="shared" ref="AIO38" ca="1" si="12359">IF(AIG38&lt;&gt;"",VLOOKUP(AIG38,AHN4:AHT40,7,FALSE),"")</f>
        <v>1004</v>
      </c>
      <c r="AIP38" s="319">
        <f t="shared" ref="AIP38" ca="1" si="12360">IF(AIG38&lt;&gt;"",VLOOKUP(AIG38,AHN4:AHT40,5,FALSE),"")</f>
        <v>7</v>
      </c>
      <c r="AIQ38" s="319">
        <f t="shared" ref="AIQ38" ca="1" si="12361">IF(AIG38&lt;&gt;"",VLOOKUP(AIG38,AHN4:AHV40,9,FALSE),"")</f>
        <v>53</v>
      </c>
      <c r="AIR38" s="319">
        <f t="shared" ca="1" si="11976"/>
        <v>1</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0</v>
      </c>
      <c r="AIY38" s="319">
        <f ca="1">IF(AIG38&lt;&gt;"",IF(AIY78&lt;&gt;"",IF(AIF76=3,AIY78,AIY78+AIF76),SUM(AIS38:AIX38)),"")</f>
        <v>1</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1</v>
      </c>
      <c r="ALN38" s="322">
        <f ca="1">IF(OFFSET('Player Game Board'!Q45,0,ALM1)&lt;&gt;"",OFFSET('Player Game Board'!Q45,0,ALM1),0)</f>
        <v>2</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101</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101</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101</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101</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101</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8</v>
      </c>
      <c r="EE39" s="319">
        <f ca="1">SUMIF(IA3:IA60,DZ39,HY3:HY60)+SUMIF(HX3:HX60,DZ39,HZ3:HZ60)</f>
        <v>5</v>
      </c>
      <c r="EF39" s="319">
        <f t="shared" ca="1" si="11792"/>
        <v>1003</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19">
        <f ca="1">FQ39-FR39+1000</f>
        <v>1000</v>
      </c>
      <c r="FT39" s="319">
        <f t="shared" ca="1" si="12138"/>
        <v>1</v>
      </c>
      <c r="FU39" s="319">
        <f ca="1">IF(FM39&lt;&gt;"",VLOOKUP(FM39,DZ4:EF40,7,FALSE),"")</f>
        <v>1003</v>
      </c>
      <c r="FV39" s="319">
        <f ca="1">IF(FM39&lt;&gt;"",VLOOKUP(FM39,DZ4:EF40,5,FALSE),"")</f>
        <v>8</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3</v>
      </c>
      <c r="IX39" s="319" t="str">
        <f t="shared" si="12140"/>
        <v>Türkiye</v>
      </c>
      <c r="IY39" s="319">
        <f ca="1">SUMPRODUCT((MV3:MV42=IX39)*(MZ3:MZ42="W"))+SUMPRODUCT((MY3:MY42=IX39)*(NA3:NA42="W"))</f>
        <v>0</v>
      </c>
      <c r="IZ39" s="319">
        <f ca="1">SUMPRODUCT((MV3:MV42=IX39)*(MZ3:MZ42="D"))+SUMPRODUCT((MY3:MY42=IX39)*(NA3:NA42="D"))</f>
        <v>2</v>
      </c>
      <c r="JA39" s="319">
        <f ca="1">SUMPRODUCT((MV3:MV42=IX39)*(MZ3:MZ42="L"))+SUMPRODUCT((MY3:MY42=IX39)*(NA3:NA42="L"))</f>
        <v>1</v>
      </c>
      <c r="JB39" s="319">
        <f ca="1">SUMIF(MV3:MV60,IX39,MW3:MW60)+SUMIF(MY3:MY60,IX39,MX3:MX60)</f>
        <v>4</v>
      </c>
      <c r="JC39" s="319">
        <f ca="1">SUMIF(MY3:MY60,IX39,MW3:MW60)+SUMIF(MV3:MV60,IX39,MX3:MX60)</f>
        <v>5</v>
      </c>
      <c r="JD39" s="319">
        <f t="shared" ca="1" si="11796"/>
        <v>999</v>
      </c>
      <c r="JE39" s="319">
        <f t="shared" ca="1" si="11797"/>
        <v>2</v>
      </c>
      <c r="JF39" s="319">
        <f t="shared" si="618"/>
        <v>47</v>
      </c>
      <c r="JG39" s="319">
        <f ca="1">IF(COUNTIF(JE37:JE41,4)&lt;&gt;4,RANK(JE39,JE37:JE41),JE79)</f>
        <v>3</v>
      </c>
      <c r="JH39" s="319"/>
      <c r="JI39" s="319">
        <f ca="1">SUMPRODUCT((JG37:JG40=JG39)*(JF37:JF40&lt;JF39))+JG39</f>
        <v>3</v>
      </c>
      <c r="JJ39" s="319" t="str">
        <f ca="1">INDEX(IX37:IX41,MATCH(3,JI37:JI41,0),0)</f>
        <v>Türkiye</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Türkiye</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1</v>
      </c>
      <c r="NV39" s="319" t="str">
        <f t="shared" si="11801"/>
        <v>Türkiye</v>
      </c>
      <c r="NW39" s="319">
        <f t="shared" ref="NW39" ca="1" si="12592">SUMPRODUCT((RT3:RT42=NV39)*(RX3:RX42="W"))+SUMPRODUCT((RW3:RW42=NV39)*(RY3:RY42="W"))</f>
        <v>2</v>
      </c>
      <c r="NX39" s="319">
        <f t="shared" ref="NX39" ca="1" si="12593">SUMPRODUCT((RT3:RT42=NV39)*(RX3:RX42="D"))+SUMPRODUCT((RW3:RW42=NV39)*(RY3:RY42="D"))</f>
        <v>1</v>
      </c>
      <c r="NY39" s="319">
        <f t="shared" ref="NY39" ca="1" si="12594">SUMPRODUCT((RT3:RT42=NV39)*(RX3:RX42="L"))+SUMPRODUCT((RW3:RW42=NV39)*(RY3:RY42="L"))</f>
        <v>0</v>
      </c>
      <c r="NZ39" s="319">
        <f t="shared" ref="NZ39" ca="1" si="12595">SUMIF(RT3:RT60,NV39,RU3:RU60)+SUMIF(RW3:RW60,NV39,RV3:RV60)</f>
        <v>5</v>
      </c>
      <c r="OA39" s="319">
        <f t="shared" ref="OA39" ca="1" si="12596">SUMIF(RW3:RW60,NV39,RU3:RU60)+SUMIF(RT3:RT60,NV39,RV3:RV60)</f>
        <v>2</v>
      </c>
      <c r="OB39" s="319">
        <f t="shared" ca="1" si="11807"/>
        <v>1003</v>
      </c>
      <c r="OC39" s="319">
        <f t="shared" ca="1" si="11808"/>
        <v>7</v>
      </c>
      <c r="OD39" s="319">
        <f t="shared" si="630"/>
        <v>47</v>
      </c>
      <c r="OE39" s="319">
        <f t="shared" ref="OE39" ca="1" si="12597">IF(COUNTIF(OC37:OC41,4)&lt;&gt;4,RANK(OC39,OC37:OC41),OC79)</f>
        <v>1</v>
      </c>
      <c r="OF39" s="319"/>
      <c r="OG39" s="319">
        <f t="shared" ref="OG39" ca="1" si="12598">SUMPRODUCT((OE37:OE40=OE39)*(OD37:OD40&lt;OD39))+OE39</f>
        <v>1</v>
      </c>
      <c r="OH39" s="319" t="str">
        <f t="shared" ref="OH39" ca="1" si="12599">INDEX(NV37:NV41,MATCH(3,OG37:OG41,0),0)</f>
        <v>Czechia</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1</v>
      </c>
      <c r="SV39" s="319">
        <f t="shared" ref="SV39" ca="1" si="12657">SUMPRODUCT((WR3:WR42=ST39)*(WV3:WV42="D"))+SUMPRODUCT((WU3:WU42=ST39)*(WW3:WW42="D"))</f>
        <v>2</v>
      </c>
      <c r="SW39" s="319">
        <f t="shared" ref="SW39" ca="1" si="12658">SUMPRODUCT((WR3:WR42=ST39)*(WV3:WV42="L"))+SUMPRODUCT((WU3:WU42=ST39)*(WW3:WW42="L"))</f>
        <v>0</v>
      </c>
      <c r="SX39" s="319">
        <f t="shared" ref="SX39" ca="1" si="12659">SUMIF(WR3:WR60,ST39,WS3:WS60)+SUMIF(WU3:WU60,ST39,WT3:WT60)</f>
        <v>4</v>
      </c>
      <c r="SY39" s="319">
        <f t="shared" ref="SY39" ca="1" si="12660">SUMIF(WU3:WU60,ST39,WS3:WS60)+SUMIF(WR3:WR60,ST39,WT3:WT60)</f>
        <v>2</v>
      </c>
      <c r="SZ39" s="319">
        <f t="shared" ca="1" si="11844"/>
        <v>1002</v>
      </c>
      <c r="TA39" s="319">
        <f t="shared" ca="1" si="11845"/>
        <v>5</v>
      </c>
      <c r="TB39" s="319">
        <f t="shared" si="690"/>
        <v>47</v>
      </c>
      <c r="TC39" s="319">
        <f t="shared" ref="TC39" ca="1" si="12661">IF(COUNTIF(TA37:TA41,4)&lt;&gt;4,RANK(TA39,TA37:TA41),TA79)</f>
        <v>2</v>
      </c>
      <c r="TD39" s="319"/>
      <c r="TE39" s="319">
        <f t="shared" ref="TE39" ca="1" si="12662">SUMPRODUCT((TC37:TC40=TC39)*(TB37:TB40&lt;TB39))+TC39</f>
        <v>2</v>
      </c>
      <c r="TF39" s="319" t="str">
        <f t="shared" ref="TF39" ca="1" si="12663">INDEX(ST37:ST41,MATCH(3,TE37:TE41,0),0)</f>
        <v>Czechia</v>
      </c>
      <c r="TG39" s="319">
        <f t="shared" ref="TG39" ca="1" si="12664">INDEX(TC37:TC41,MATCH(TF39,ST37:ST41,0),0)</f>
        <v>3</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2</v>
      </c>
      <c r="XR39" s="319" t="str">
        <f t="shared" si="11875"/>
        <v>Türkiye</v>
      </c>
      <c r="XS39" s="319">
        <f t="shared" ref="XS39" ca="1" si="12720">SUMPRODUCT((ABP3:ABP42=XR39)*(ABT3:ABT42="W"))+SUMPRODUCT((ABS3:ABS42=XR39)*(ABU3:ABU42="W"))</f>
        <v>2</v>
      </c>
      <c r="XT39" s="319">
        <f t="shared" ref="XT39" ca="1" si="12721">SUMPRODUCT((ABP3:ABP42=XR39)*(ABT3:ABT42="D"))+SUMPRODUCT((ABS3:ABS42=XR39)*(ABU3:ABU42="D"))</f>
        <v>1</v>
      </c>
      <c r="XU39" s="319">
        <f t="shared" ref="XU39" ca="1" si="12722">SUMPRODUCT((ABP3:ABP42=XR39)*(ABT3:ABT42="L"))+SUMPRODUCT((ABS3:ABS42=XR39)*(ABU3:ABU42="L"))</f>
        <v>0</v>
      </c>
      <c r="XV39" s="319">
        <f t="shared" ref="XV39" ca="1" si="12723">SUMIF(ABP3:ABP60,XR39,ABQ3:ABQ60)+SUMIF(ABS3:ABS60,XR39,ABR3:ABR60)</f>
        <v>6</v>
      </c>
      <c r="XW39" s="319">
        <f t="shared" ref="XW39" ca="1" si="12724">SUMIF(ABS3:ABS60,XR39,ABQ3:ABQ60)+SUMIF(ABP3:ABP60,XR39,ABR3:ABR60)</f>
        <v>3</v>
      </c>
      <c r="XX39" s="319">
        <f t="shared" ca="1" si="11881"/>
        <v>1003</v>
      </c>
      <c r="XY39" s="319">
        <f t="shared" ca="1" si="11882"/>
        <v>7</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Georgia</v>
      </c>
      <c r="YE39" s="319">
        <f t="shared" ref="YE39" ca="1" si="12728">INDEX(YA37:YA41,MATCH(YD39,XR37:XR41,0),0)</f>
        <v>3</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19">
        <f t="shared" ca="1" si="12277"/>
        <v>1000</v>
      </c>
      <c r="ZL39" s="319" t="str">
        <f t="shared" ca="1" si="12278"/>
        <v/>
      </c>
      <c r="ZM39" s="319" t="str">
        <f t="shared" ref="ZM39" ca="1" si="12752">IF(ZE39&lt;&gt;"",VLOOKUP(ZE39,XR4:XX40,7,FALSE),"")</f>
        <v/>
      </c>
      <c r="ZN39" s="319" t="str">
        <f t="shared" ref="ZN39" ca="1" si="12753">IF(ZE39&lt;&gt;"",VLOOKUP(ZE39,XR4:XX40,5,FALSE),"")</f>
        <v/>
      </c>
      <c r="ZO39" s="319" t="str">
        <f t="shared" ref="ZO39" ca="1" si="12754">IF(ZE39&lt;&gt;"",VLOOKUP(ZE39,XR4:XZ40,9,FALSE),"")</f>
        <v/>
      </c>
      <c r="ZP39" s="319" t="str">
        <f t="shared" ca="1" si="12282"/>
        <v/>
      </c>
      <c r="ZQ39" s="319" t="str">
        <f t="shared" ref="ZQ39" ca="1" si="12755">IF(ZE39&lt;&gt;"",RANK(ZP39,ZP37:ZP40),"")</f>
        <v/>
      </c>
      <c r="ZR39" s="319" t="str">
        <f t="shared" ref="ZR39" ca="1" si="12756">IF(ZE39&lt;&gt;"",SUMPRODUCT((ZP37:ZP41=ZP39)*(ZK37:ZK41&gt;ZK39)),"")</f>
        <v/>
      </c>
      <c r="ZS39" s="319" t="str">
        <f t="shared" ref="ZS39" ca="1" si="12757">IF(ZE39&lt;&gt;"",SUMPRODUCT((ZP37:ZP41=ZP39)*(ZK37:ZK41=ZK39)*(ZI37:ZI41&gt;ZI39)),"")</f>
        <v/>
      </c>
      <c r="ZT39" s="319" t="str">
        <f t="shared" ref="ZT39" ca="1" si="12758">IF(ZE39&lt;&gt;"",SUMPRODUCT((ZP37:ZP41=ZP39)*(ZK37:ZK41=ZK39)*(ZI37:ZI41=ZI39)*(ZM37:ZM41&gt;ZM39)),"")</f>
        <v/>
      </c>
      <c r="ZU39" s="319" t="str">
        <f t="shared" ref="ZU39" ca="1" si="12759">IF(ZE39&lt;&gt;"",SUMPRODUCT((ZP37:ZP41=ZP39)*(ZK37:ZK41=ZK39)*(ZI37:ZI41=ZI39)*(ZM37:ZM41=ZM39)*(ZN37:ZN41&gt;ZN39)),"")</f>
        <v/>
      </c>
      <c r="ZV39" s="319" t="str">
        <f t="shared" ref="ZV39" ca="1" si="12760">IF(ZE39&lt;&gt;"",SUMPRODUCT((ZP37:ZP41=ZP39)*(ZK37:ZK41=ZK39)*(ZI37:ZI41=ZI39)*(ZM37:ZM41=ZM39)*(ZN37:ZN41=ZN39)*(ZO37:ZO41&gt;ZO39)),"")</f>
        <v/>
      </c>
      <c r="ZW39" s="319" t="str">
        <f ca="1">IF(ZE39&lt;&gt;"",IF(ZW79&lt;&gt;"",IF(ZD76=3,ZW79,ZW79+ZD76),SUM(ZQ39:ZV39)+1),"")</f>
        <v/>
      </c>
      <c r="ZX39" s="319" t="str">
        <f t="shared" ref="ZX39" ca="1" si="12761">IF(ZE39&lt;&gt;"",INDEX(ZE38:ZE41,MATCH(3,ZW38:ZW41,0),0),"")</f>
        <v/>
      </c>
      <c r="ZY39" s="319" t="str">
        <f t="shared" ref="ZY39:ZY40" ca="1" si="12762">IF(YH37&lt;&gt;"",YH37,"")</f>
        <v>Georgia</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19">
        <f t="shared" ref="AAE39:AAE40" ca="1" si="12768">AAC39-AAD39+1000</f>
        <v>1000</v>
      </c>
      <c r="AAF39" s="319">
        <f t="shared" ref="AAF39:AAF40" ca="1" si="12769">IF(ZY39&lt;&gt;"",ZZ39*3+AAA39*1,"")</f>
        <v>1</v>
      </c>
      <c r="AAG39" s="319">
        <f t="shared" ref="AAG39" ca="1" si="12770">IF(ZY39&lt;&gt;"",VLOOKUP(ZY39,XR4:XX40,7,FALSE),"")</f>
        <v>994</v>
      </c>
      <c r="AAH39" s="319">
        <f t="shared" ref="AAH39" ca="1" si="12771">IF(ZY39&lt;&gt;"",VLOOKUP(ZY39,XR4:XX40,5,FALSE),"")</f>
        <v>1</v>
      </c>
      <c r="AAI39" s="319">
        <f t="shared" ref="AAI39" ca="1" si="12772">IF(ZY39&lt;&gt;"",VLOOKUP(ZY39,XR4:XZ40,9,FALSE),"")</f>
        <v>0</v>
      </c>
      <c r="AAJ39" s="319">
        <f t="shared" ref="AAJ39:AAJ40" ca="1" si="12773">AAF39</f>
        <v>1</v>
      </c>
      <c r="AAK39" s="319">
        <f t="shared" ref="AAK39" ca="1" si="12774">IF(ZY39&lt;&gt;"",RANK(AAJ39,AAJ38:AAJ40),"")</f>
        <v>1</v>
      </c>
      <c r="AAL39" s="319">
        <f t="shared" ref="AAL39" ca="1" si="12775">IF(ZY39&lt;&gt;"",SUMPRODUCT((AAJ37:AAJ41=AAJ39)*(AAE37:AAE41&gt;AAE39)),"")</f>
        <v>0</v>
      </c>
      <c r="AAM39" s="319">
        <f t="shared" ref="AAM39" ca="1" si="12776">IF(ZY39&lt;&gt;"",SUMPRODUCT((AAJ37:AAJ41=AAJ39)*(AAE37:AAE41=AAE39)*(AAC37:AAC41&gt;AAC39)),"")</f>
        <v>0</v>
      </c>
      <c r="AAN39" s="319">
        <f t="shared" ref="AAN39" ca="1" si="12777">IF(ZY39&lt;&gt;"",SUMPRODUCT((AAJ37:AAJ41=AAJ39)*(AAE37:AAE41=AAE39)*(AAC37:AAC41=AAC39)*(AAG37:AAG41&gt;AAG39)),"")</f>
        <v>1</v>
      </c>
      <c r="AAO39" s="319">
        <f t="shared" ref="AAO39" ca="1" si="12778">IF(ZY39&lt;&gt;"",SUMPRODUCT((AAJ37:AAJ41=AAJ39)*(AAE37:AAE41=AAE39)*(AAC37:AAC41=AAC39)*(AAG37:AAG41=AAG39)*(AAH37:AAH41&gt;AAH39)),"")</f>
        <v>0</v>
      </c>
      <c r="AAP39" s="319">
        <f t="shared" ref="AAP39" ca="1" si="12779">IF(ZY39&lt;&gt;"",SUMPRODUCT((AAJ37:AAJ41=AAJ39)*(AAE37:AAE41=AAE39)*(AAC37:AAC41=AAC39)*(AAG37:AAG41=AAG39)*(AAH37:AAH41=AAH39)*(AAI37:AAI41&gt;AAI39)),"")</f>
        <v>0</v>
      </c>
      <c r="AAQ39" s="319">
        <f t="shared" ref="AAQ39:AAQ40" ca="1" si="12780">IF(ZY39&lt;&gt;"",SUM(AAK39:AAP39)+2,"")</f>
        <v>4</v>
      </c>
      <c r="AAR39" s="319" t="str">
        <f t="shared" ref="AAR39" ca="1" si="12781">IF(ZY39&lt;&gt;"",INDEX(ZY39:ZY41,MATCH(3,AAQ39:AAQ41,0),0),"")</f>
        <v>Czechia</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3</v>
      </c>
      <c r="ACP39" s="319" t="str">
        <f t="shared" si="11912"/>
        <v>Türkiye</v>
      </c>
      <c r="ACQ39" s="319">
        <f t="shared" ref="ACQ39" ca="1" si="12784">SUMPRODUCT((AGN3:AGN42=ACP39)*(AGR3:AGR42="W"))+SUMPRODUCT((AGQ3:AGQ42=ACP39)*(AGS3:AGS42="W"))</f>
        <v>1</v>
      </c>
      <c r="ACR39" s="319">
        <f t="shared" ref="ACR39" ca="1" si="12785">SUMPRODUCT((AGN3:AGN42=ACP39)*(AGR3:AGR42="D"))+SUMPRODUCT((AGQ3:AGQ42=ACP39)*(AGS3:AGS42="D"))</f>
        <v>1</v>
      </c>
      <c r="ACS39" s="319">
        <f t="shared" ref="ACS39" ca="1" si="12786">SUMPRODUCT((AGN3:AGN42=ACP39)*(AGR3:AGR42="L"))+SUMPRODUCT((AGQ3:AGQ42=ACP39)*(AGS3:AGS42="L"))</f>
        <v>1</v>
      </c>
      <c r="ACT39" s="319">
        <f t="shared" ref="ACT39" ca="1" si="12787">SUMIF(AGN3:AGN60,ACP39,AGO3:AGO60)+SUMIF(AGQ3:AGQ60,ACP39,AGP3:AGP60)</f>
        <v>4</v>
      </c>
      <c r="ACU39" s="319">
        <f t="shared" ref="ACU39" ca="1" si="12788">SUMIF(AGQ3:AGQ60,ACP39,AGO3:AGO60)+SUMIF(AGN3:AGN60,ACP39,AGP3:AGP60)</f>
        <v>5</v>
      </c>
      <c r="ACV39" s="319">
        <f t="shared" ca="1" si="11918"/>
        <v>999</v>
      </c>
      <c r="ACW39" s="319">
        <f t="shared" ca="1" si="11919"/>
        <v>4</v>
      </c>
      <c r="ACX39" s="319">
        <f t="shared" si="810"/>
        <v>47</v>
      </c>
      <c r="ACY39" s="319">
        <f t="shared" ref="ACY39" ca="1" si="12789">IF(COUNTIF(ACW37:ACW41,4)&lt;&gt;4,RANK(ACW39,ACW37:ACW41),ACW79)</f>
        <v>2</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2</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Türkiye</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19">
        <f t="shared" ca="1" si="12326"/>
        <v>1000</v>
      </c>
      <c r="AEJ39" s="319">
        <f t="shared" ca="1" si="12327"/>
        <v>1</v>
      </c>
      <c r="AEK39" s="319">
        <f t="shared" ref="AEK39" ca="1" si="12816">IF(AEC39&lt;&gt;"",VLOOKUP(AEC39,ACP4:ACV40,7,FALSE),"")</f>
        <v>999</v>
      </c>
      <c r="AEL39" s="319">
        <f t="shared" ref="AEL39" ca="1" si="12817">IF(AEC39&lt;&gt;"",VLOOKUP(AEC39,ACP4:ACV40,5,FALSE),"")</f>
        <v>4</v>
      </c>
      <c r="AEM39" s="319">
        <f t="shared" ref="AEM39" ca="1" si="12818">IF(AEC39&lt;&gt;"",VLOOKUP(AEC39,ACP4:ACX40,9,FALSE),"")</f>
        <v>47</v>
      </c>
      <c r="AEN39" s="319">
        <f t="shared" ca="1" si="12331"/>
        <v>1</v>
      </c>
      <c r="AEO39" s="319">
        <f t="shared" ref="AEO39" ca="1" si="12819">IF(AEC39&lt;&gt;"",RANK(AEN39,AEN37:AEN40),"")</f>
        <v>1</v>
      </c>
      <c r="AEP39" s="319">
        <f t="shared" ref="AEP39" ca="1" si="12820">IF(AEC39&lt;&gt;"",SUMPRODUCT((AEN37:AEN41=AEN39)*(AEI37:AEI41&gt;AEI39)),"")</f>
        <v>0</v>
      </c>
      <c r="AEQ39" s="319">
        <f t="shared" ref="AEQ39" ca="1" si="12821">IF(AEC39&lt;&gt;"",SUMPRODUCT((AEN37:AEN41=AEN39)*(AEI37:AEI41=AEI39)*(AEG37:AEG41&gt;AEG39)),"")</f>
        <v>0</v>
      </c>
      <c r="AER39" s="319">
        <f t="shared" ref="AER39" ca="1" si="12822">IF(AEC39&lt;&gt;"",SUMPRODUCT((AEN37:AEN41=AEN39)*(AEI37:AEI41=AEI39)*(AEG37:AEG41=AEG39)*(AEK37:AEK41&gt;AEK39)),"")</f>
        <v>1</v>
      </c>
      <c r="AES39" s="319">
        <f t="shared" ref="AES39" ca="1" si="12823">IF(AEC39&lt;&gt;"",SUMPRODUCT((AEN37:AEN41=AEN39)*(AEI37:AEI41=AEI39)*(AEG37:AEG41=AEG39)*(AEK37:AEK41=AEK39)*(AEL37:AEL41&gt;AEL39)),"")</f>
        <v>0</v>
      </c>
      <c r="AET39" s="319">
        <f t="shared" ref="AET39" ca="1" si="12824">IF(AEC39&lt;&gt;"",SUMPRODUCT((AEN37:AEN41=AEN39)*(AEI37:AEI41=AEI39)*(AEG37:AEG41=AEG39)*(AEK37:AEK41=AEK39)*(AEL37:AEL41=AEL39)*(AEM37:AEM41&gt;AEM39)),"")</f>
        <v>0</v>
      </c>
      <c r="AEU39" s="319">
        <f ca="1">IF(AEC39&lt;&gt;"",IF(AEU79&lt;&gt;"",IF(AEB76=3,AEU79,AEU79+AEB76),SUM(AEO39:AET39)+1),"")</f>
        <v>3</v>
      </c>
      <c r="AEV39" s="319" t="str">
        <f t="shared" ref="AEV39" ca="1" si="12825">IF(AEC39&lt;&gt;"",INDEX(AEC38:AEC41,MATCH(3,AEU38:AEU41,0),0),"")</f>
        <v>Türkiye</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Türkiye</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1</v>
      </c>
      <c r="AHQ39" s="319">
        <f t="shared" ref="AHQ39" ca="1" si="12850">SUMPRODUCT((ALL3:ALL42=AHN39)*(ALP3:ALP42="L"))+SUMPRODUCT((ALO3:ALO42=AHN39)*(ALQ3:ALQ42="L"))</f>
        <v>0</v>
      </c>
      <c r="AHR39" s="319">
        <f t="shared" ref="AHR39" ca="1" si="12851">SUMIF(ALL3:ALL60,AHN39,ALM3:ALM60)+SUMIF(ALO3:ALO60,AHN39,ALN3:ALN60)</f>
        <v>7</v>
      </c>
      <c r="AHS39" s="319">
        <f t="shared" ref="AHS39" ca="1" si="12852">SUMIF(ALO3:ALO60,AHN39,ALM3:ALM60)+SUMIF(ALL3:ALL60,AHN39,ALN3:ALN60)</f>
        <v>3</v>
      </c>
      <c r="AHT39" s="319">
        <f t="shared" ca="1" si="11955"/>
        <v>1004</v>
      </c>
      <c r="AHU39" s="319">
        <f t="shared" ca="1" si="11956"/>
        <v>7</v>
      </c>
      <c r="AHV39" s="319">
        <f t="shared" si="870"/>
        <v>47</v>
      </c>
      <c r="AHW39" s="319">
        <f t="shared" ref="AHW39" ca="1" si="12853">IF(COUNTIF(AHU37:AHU41,4)&lt;&gt;4,RANK(AHU39,AHU37:AHU41),AHU79)</f>
        <v>1</v>
      </c>
      <c r="AHX39" s="319"/>
      <c r="AHY39" s="319">
        <f t="shared" ref="AHY39" ca="1" si="12854">SUMPRODUCT((AHW37:AHW40=AHW39)*(AHV37:AHV40&lt;AHV39))+AHW39</f>
        <v>1</v>
      </c>
      <c r="AHZ39" s="319" t="str">
        <f t="shared" ref="AHZ39" ca="1" si="12855">INDEX(AHN37:AHN41,MATCH(3,AHY37:AHY41,0),0)</f>
        <v>Czechia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1</v>
      </c>
      <c r="EE40" s="319">
        <f ca="1">SUMIF(IA3:IA60,DZ40,HY3:HY60)+SUMIF(HX3:HX60,DZ40,HZ3:HZ60)</f>
        <v>13</v>
      </c>
      <c r="EF40" s="319">
        <f t="shared" ca="1" si="11792"/>
        <v>988</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3</v>
      </c>
      <c r="JC40" s="319">
        <f ca="1">SUMIF(MY3:MY60,IX40,MW3:MW60)+SUMIF(MV3:MV60,IX40,MX3:MX60)</f>
        <v>6</v>
      </c>
      <c r="JD40" s="319">
        <f t="shared" ca="1" si="11796"/>
        <v>997</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3</v>
      </c>
      <c r="NZ40" s="319">
        <f t="shared" ref="NZ40" ca="1" si="13177">SUMIF(RT3:RT60,NV40,RU3:RU60)+SUMIF(RW3:RW60,NV40,RV3:RV60)</f>
        <v>0</v>
      </c>
      <c r="OA40" s="319">
        <f t="shared" ref="OA40" ca="1" si="13178">SUMIF(RW3:RW60,NV40,RU3:RU60)+SUMIF(RT3:RT60,NV40,RV3:RV60)</f>
        <v>4</v>
      </c>
      <c r="OB40" s="319">
        <f t="shared" ca="1" si="11807"/>
        <v>996</v>
      </c>
      <c r="OC40" s="319">
        <f t="shared" ca="1" si="11808"/>
        <v>0</v>
      </c>
      <c r="OD40" s="319">
        <f t="shared" si="630"/>
        <v>0</v>
      </c>
      <c r="OE40" s="319">
        <f t="shared" ref="OE40" ca="1" si="13179">IF(COUNTIF(OC37:OC41,4)&lt;&gt;4,RANK(OC40,OC37:OC41),OC80)</f>
        <v>4</v>
      </c>
      <c r="OF40" s="319"/>
      <c r="OG40" s="319">
        <f t="shared" ref="OG40" ca="1" si="13180">SUMPRODUCT((OE37:OE40=OE40)*(OD37:OD40&lt;OD40))+OE40</f>
        <v>4</v>
      </c>
      <c r="OH40" s="319" t="str">
        <f t="shared" ref="OH40" ca="1" si="13181">INDEX(NV37:NV41,MATCH(4,OG37:OG41,0),0)</f>
        <v>Georgia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0</v>
      </c>
      <c r="SY40" s="319">
        <f t="shared" ref="SY40" ca="1" si="13254">SUMIF(WU3:WU60,ST40,WS3:WS60)+SUMIF(WR3:WR60,ST40,WT3:WT60)</f>
        <v>9</v>
      </c>
      <c r="SZ40" s="319">
        <f t="shared" ca="1" si="11844"/>
        <v>991</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1</v>
      </c>
      <c r="XU40" s="319">
        <f t="shared" ref="XU40" ca="1" si="13328">SUMPRODUCT((ABP3:ABP42=XR40)*(ABT3:ABT42="L"))+SUMPRODUCT((ABS3:ABS42=XR40)*(ABU3:ABU42="L"))</f>
        <v>2</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1</v>
      </c>
      <c r="XZ40" s="319">
        <f t="shared" si="750"/>
        <v>0</v>
      </c>
      <c r="YA40" s="319">
        <f t="shared" ref="YA40" ca="1" si="13331">IF(COUNTIF(XY37:XY41,4)&lt;&gt;4,RANK(XY40,XY37:XY41),XY80)</f>
        <v>3</v>
      </c>
      <c r="YB40" s="319"/>
      <c r="YC40" s="319">
        <f t="shared" ref="YC40" ca="1" si="13332">SUMPRODUCT((YA37:YA40=YA40)*(XZ37:XZ40&lt;XZ40))+YA40</f>
        <v>3</v>
      </c>
      <c r="YD40" s="319" t="str">
        <f t="shared" ref="YD40" ca="1" si="13333">INDEX(XR37:XR41,MATCH(4,YC37:YC41,0),0)</f>
        <v>Czechia</v>
      </c>
      <c r="YE40" s="319">
        <f t="shared" ref="YE40" ca="1" si="13334">INDEX(YA37:YA41,MATCH(YD40,XR37:XR41,0),0)</f>
        <v>3</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Czechia</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19">
        <f t="shared" ca="1" si="12768"/>
        <v>1000</v>
      </c>
      <c r="AAF40" s="319">
        <f t="shared" ca="1" si="12769"/>
        <v>1</v>
      </c>
      <c r="AAG40" s="319">
        <f t="shared" ref="AAG40" ca="1" si="13370">IF(ZY40&lt;&gt;"",VLOOKUP(ZY40,XR4:XX40,7,FALSE),"")</f>
        <v>997</v>
      </c>
      <c r="AAH40" s="319">
        <f t="shared" ref="AAH40" ca="1" si="13371">IF(ZY40&lt;&gt;"",VLOOKUP(ZY40,XR4:XX40,5,FALSE),"")</f>
        <v>3</v>
      </c>
      <c r="AAI40" s="319">
        <f t="shared" ref="AAI40" ca="1" si="13372">IF(ZY40&lt;&gt;"",VLOOKUP(ZY40,XR4:XZ40,9,FALSE),"")</f>
        <v>37</v>
      </c>
      <c r="AAJ40" s="319">
        <f t="shared" ca="1" si="12773"/>
        <v>1</v>
      </c>
      <c r="AAK40" s="319">
        <f t="shared" ref="AAK40" ca="1" si="13373">IF(ZY40&lt;&gt;"",RANK(AAJ40,AAJ38:AAJ40),"")</f>
        <v>1</v>
      </c>
      <c r="AAL40" s="319">
        <f t="shared" ref="AAL40" ca="1" si="13374">IF(ZY40&lt;&gt;"",SUMPRODUCT((AAJ37:AAJ41=AAJ40)*(AAE37:AAE41&gt;AAE40)),"")</f>
        <v>0</v>
      </c>
      <c r="AAM40" s="319">
        <f t="shared" ref="AAM40" ca="1" si="13375">IF(ZY40&lt;&gt;"",SUMPRODUCT((AAJ37:AAJ41=AAJ40)*(AAE37:AAE41=AAE40)*(AAC37:AAC41&gt;AAC40)),"")</f>
        <v>0</v>
      </c>
      <c r="AAN40" s="319">
        <f t="shared" ref="AAN40" ca="1" si="13376">IF(ZY40&lt;&gt;"",SUMPRODUCT((AAJ37:AAJ41=AAJ40)*(AAE37:AAE41=AAE40)*(AAC37:AAC41=AAC40)*(AAG37:AAG41&gt;AAG40)),"")</f>
        <v>0</v>
      </c>
      <c r="AAO40" s="319">
        <f t="shared" ref="AAO40" ca="1" si="13377">IF(ZY40&lt;&gt;"",SUMPRODUCT((AAJ37:AAJ41=AAJ40)*(AAE37:AAE41=AAE40)*(AAC37:AAC41=AAC40)*(AAG37:AAG41=AAG40)*(AAH37:AAH41&gt;AAH40)),"")</f>
        <v>0</v>
      </c>
      <c r="AAP40" s="319">
        <f t="shared" ref="AAP40" ca="1" si="13378">IF(ZY40&lt;&gt;"",SUMPRODUCT((AAJ37:AAJ41=AAJ40)*(AAE37:AAE41=AAE40)*(AAC37:AAC41=AAC40)*(AAG37:AAG41=AAG40)*(AAH37:AAH41=AAH40)*(AAI37:AAI41&gt;AAI40)),"")</f>
        <v>0</v>
      </c>
      <c r="AAQ40" s="319">
        <f t="shared" ca="1" si="12780"/>
        <v>3</v>
      </c>
      <c r="AAR40" s="319" t="str">
        <f t="shared" ref="AAR40" ca="1" si="13379">IF(ZY40&lt;&gt;"",INDEX(ZY39:ZY41,MATCH(4,AAQ39:AAQ41,0),0),"")</f>
        <v>Georgia</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2</v>
      </c>
      <c r="ACU40" s="319">
        <f t="shared" ref="ACU40" ca="1" si="13406">SUMIF(AGQ3:AGQ60,ACP40,AGO3:AGO60)+SUMIF(AGN3:AGN60,ACP40,AGP3:AGP60)</f>
        <v>9</v>
      </c>
      <c r="ACV40" s="319">
        <f t="shared" ca="1" si="11918"/>
        <v>993</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3</v>
      </c>
      <c r="AHR40" s="319">
        <f t="shared" ref="AHR40" ca="1" si="13481">SUMIF(ALL3:ALL60,AHN40,ALM3:ALM60)+SUMIF(ALO3:ALO60,AHN40,ALN3:ALN60)</f>
        <v>0</v>
      </c>
      <c r="AHS40" s="319">
        <f t="shared" ref="AHS40" ca="1" si="13482">SUMIF(ALO3:ALO60,AHN40,ALM3:ALM60)+SUMIF(ALL3:ALL60,AHN40,ALN3:ALN60)</f>
        <v>8</v>
      </c>
      <c r="AHT40" s="319">
        <f t="shared" ca="1" si="11955"/>
        <v>992</v>
      </c>
      <c r="AHU40" s="319">
        <f t="shared" ca="1" si="11956"/>
        <v>0</v>
      </c>
      <c r="AHV40" s="319">
        <f t="shared" si="870"/>
        <v>0</v>
      </c>
      <c r="AHW40" s="319">
        <f t="shared" ref="AHW40" ca="1" si="13483">IF(COUNTIF(AHU37:AHU41,4)&lt;&gt;4,RANK(AHU40,AHU37:AHU41),AHU80)</f>
        <v>4</v>
      </c>
      <c r="AHX40" s="319"/>
      <c r="AHY40" s="319">
        <f t="shared" ref="AHY40" ca="1" si="13484">SUMPRODUCT((AHW37:AHW40=AHW40)*(AHV37:AHV40&lt;AHV40))+AHW40</f>
        <v>4</v>
      </c>
      <c r="AHZ40" s="319" t="str">
        <f t="shared" ref="AHZ40" ca="1" si="13485">INDEX(AHN37:AHN41,MATCH(4,AHY37:AHY41,0),0)</f>
        <v>Georgia</v>
      </c>
      <c r="AIA40" s="319">
        <f t="shared" ref="AIA40" ca="1" si="13486">INDEX(AHW37:AHW41,MATCH(AHZ40,AHN37:AHN41,0),0)</f>
        <v>4</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55" customHeight="1" x14ac:dyDescent="0.2"/>
    <row r="43" spans="1:1536" x14ac:dyDescent="0.2">
      <c r="T43" s="321">
        <f>IF(U44="",SUM(AG4:AL4),IF(U45="",SUM(AG5:AL5),IF(U46="",SUM(AG6:AL6),IF(U47="",SUM(AG7:AL7),0))))</f>
        <v>0</v>
      </c>
      <c r="U43" s="321" t="s">
        <v>360</v>
      </c>
      <c r="V43" s="321" t="s">
        <v>152</v>
      </c>
      <c r="W43" s="321" t="s">
        <v>104</v>
      </c>
      <c r="X43" s="321" t="s">
        <v>153</v>
      </c>
      <c r="Y43" s="321" t="s">
        <v>330</v>
      </c>
      <c r="Z43" s="321" t="s">
        <v>331</v>
      </c>
      <c r="AA43" s="321" t="s">
        <v>338</v>
      </c>
      <c r="AB43" s="321" t="s">
        <v>151</v>
      </c>
      <c r="AC43" s="321" t="s">
        <v>347</v>
      </c>
      <c r="AD43" s="321" t="s">
        <v>348</v>
      </c>
      <c r="AE43" s="321" t="s">
        <v>333</v>
      </c>
      <c r="AF43" s="321" t="s">
        <v>155</v>
      </c>
      <c r="AG43" s="321" t="s">
        <v>349</v>
      </c>
      <c r="AH43" s="321" t="s">
        <v>332</v>
      </c>
      <c r="AI43" s="321" t="s">
        <v>330</v>
      </c>
      <c r="AJ43" s="321" t="s">
        <v>350</v>
      </c>
      <c r="AK43" s="321" t="s">
        <v>348</v>
      </c>
      <c r="AL43" s="321" t="s">
        <v>333</v>
      </c>
      <c r="AM43" s="321" t="s">
        <v>351</v>
      </c>
      <c r="AN43" s="321">
        <f>IF(AO45="",SUM(BA5:BF5),IF(AO46="",SUM(BA6:BF6),IF(AO47="",SUM(BA7:BF7),0)))</f>
        <v>0</v>
      </c>
      <c r="AO43" s="321" t="s">
        <v>361</v>
      </c>
      <c r="AP43" s="321" t="s">
        <v>152</v>
      </c>
      <c r="AQ43" s="321" t="s">
        <v>104</v>
      </c>
      <c r="AR43" s="321" t="s">
        <v>153</v>
      </c>
      <c r="AS43" s="321" t="s">
        <v>330</v>
      </c>
      <c r="AT43" s="321" t="s">
        <v>331</v>
      </c>
      <c r="AU43" s="321" t="s">
        <v>338</v>
      </c>
      <c r="AV43" s="321" t="s">
        <v>151</v>
      </c>
      <c r="AW43" s="321" t="s">
        <v>347</v>
      </c>
      <c r="AX43" s="321" t="s">
        <v>348</v>
      </c>
      <c r="AY43" s="321" t="s">
        <v>333</v>
      </c>
      <c r="AZ43" s="321" t="s">
        <v>155</v>
      </c>
      <c r="BA43" s="321" t="s">
        <v>349</v>
      </c>
      <c r="BB43" s="321" t="s">
        <v>332</v>
      </c>
      <c r="BC43" s="321" t="s">
        <v>330</v>
      </c>
      <c r="BD43" s="321" t="s">
        <v>350</v>
      </c>
      <c r="BE43" s="321" t="s">
        <v>348</v>
      </c>
      <c r="BF43" s="321" t="s">
        <v>333</v>
      </c>
      <c r="BG43" s="321" t="s">
        <v>351</v>
      </c>
      <c r="ER43" s="321">
        <f ca="1">IF(ES44="",SUM(FE4:FJ4),IF(ES45="",SUM(FE5:FJ5),IF(ES46="",SUM(FE6:FJ6),IF(ES47="",SUM(FE7:FJ7),0))))</f>
        <v>0</v>
      </c>
      <c r="ES43" s="321" t="s">
        <v>360</v>
      </c>
      <c r="ET43" s="321" t="s">
        <v>152</v>
      </c>
      <c r="EU43" s="321" t="s">
        <v>104</v>
      </c>
      <c r="EV43" s="321" t="s">
        <v>153</v>
      </c>
      <c r="EW43" s="321" t="s">
        <v>330</v>
      </c>
      <c r="EX43" s="321" t="s">
        <v>331</v>
      </c>
      <c r="EY43" s="321" t="s">
        <v>338</v>
      </c>
      <c r="EZ43" s="321" t="s">
        <v>151</v>
      </c>
      <c r="FA43" s="321" t="s">
        <v>347</v>
      </c>
      <c r="FB43" s="321" t="s">
        <v>348</v>
      </c>
      <c r="FC43" s="321" t="s">
        <v>333</v>
      </c>
      <c r="FD43" s="321" t="s">
        <v>155</v>
      </c>
      <c r="FE43" s="321" t="s">
        <v>349</v>
      </c>
      <c r="FF43" s="321" t="s">
        <v>332</v>
      </c>
      <c r="FG43" s="321" t="s">
        <v>330</v>
      </c>
      <c r="FH43" s="321" t="s">
        <v>350</v>
      </c>
      <c r="FI43" s="321" t="s">
        <v>348</v>
      </c>
      <c r="FJ43" s="321" t="s">
        <v>333</v>
      </c>
      <c r="FK43" s="321" t="s">
        <v>351</v>
      </c>
      <c r="FL43" s="321">
        <f ca="1">IF(FM45="",SUM(FY5:GD5),IF(FM46="",SUM(FY6:GD6),IF(FM47="",SUM(FY7:GD7),0)))</f>
        <v>0</v>
      </c>
      <c r="FM43" s="321" t="s">
        <v>361</v>
      </c>
      <c r="FN43" s="321" t="s">
        <v>152</v>
      </c>
      <c r="FO43" s="321" t="s">
        <v>104</v>
      </c>
      <c r="FP43" s="321" t="s">
        <v>153</v>
      </c>
      <c r="FQ43" s="321" t="s">
        <v>330</v>
      </c>
      <c r="FR43" s="321" t="s">
        <v>331</v>
      </c>
      <c r="FS43" s="321" t="s">
        <v>338</v>
      </c>
      <c r="FT43" s="321" t="s">
        <v>151</v>
      </c>
      <c r="FU43" s="321" t="s">
        <v>347</v>
      </c>
      <c r="FV43" s="321" t="s">
        <v>348</v>
      </c>
      <c r="FW43" s="321" t="s">
        <v>333</v>
      </c>
      <c r="FX43" s="321" t="s">
        <v>155</v>
      </c>
      <c r="FY43" s="321" t="s">
        <v>349</v>
      </c>
      <c r="FZ43" s="321" t="s">
        <v>332</v>
      </c>
      <c r="GA43" s="321" t="s">
        <v>330</v>
      </c>
      <c r="GB43" s="321" t="s">
        <v>350</v>
      </c>
      <c r="GC43" s="321" t="s">
        <v>348</v>
      </c>
      <c r="GD43" s="321" t="s">
        <v>333</v>
      </c>
      <c r="GE43" s="321" t="s">
        <v>351</v>
      </c>
      <c r="JP43" s="321">
        <f ca="1">IF(JQ44="",SUM(KC4:KH4),IF(JQ45="",SUM(KC5:KH5),IF(JQ46="",SUM(KC6:KH6),IF(JQ47="",SUM(KC7:KH7),0))))</f>
        <v>0</v>
      </c>
      <c r="JQ43" s="321" t="s">
        <v>360</v>
      </c>
      <c r="JR43" s="321" t="s">
        <v>152</v>
      </c>
      <c r="JS43" s="321" t="s">
        <v>104</v>
      </c>
      <c r="JT43" s="321" t="s">
        <v>153</v>
      </c>
      <c r="JU43" s="321" t="s">
        <v>330</v>
      </c>
      <c r="JV43" s="321" t="s">
        <v>331</v>
      </c>
      <c r="JW43" s="321" t="s">
        <v>338</v>
      </c>
      <c r="JX43" s="321" t="s">
        <v>151</v>
      </c>
      <c r="JY43" s="321" t="s">
        <v>347</v>
      </c>
      <c r="JZ43" s="321" t="s">
        <v>348</v>
      </c>
      <c r="KA43" s="321" t="s">
        <v>333</v>
      </c>
      <c r="KB43" s="321" t="s">
        <v>155</v>
      </c>
      <c r="KC43" s="321" t="s">
        <v>349</v>
      </c>
      <c r="KD43" s="321" t="s">
        <v>332</v>
      </c>
      <c r="KE43" s="321" t="s">
        <v>330</v>
      </c>
      <c r="KF43" s="321" t="s">
        <v>350</v>
      </c>
      <c r="KG43" s="321" t="s">
        <v>348</v>
      </c>
      <c r="KH43" s="321" t="s">
        <v>333</v>
      </c>
      <c r="KI43" s="321" t="s">
        <v>351</v>
      </c>
      <c r="KJ43" s="321">
        <f ca="1">IF(KK45="",SUM(KW5:LB5),IF(KK46="",SUM(KW6:LB6),IF(KK47="",SUM(KW7:LB7),0)))</f>
        <v>0</v>
      </c>
      <c r="KK43" s="321" t="s">
        <v>361</v>
      </c>
      <c r="KL43" s="321" t="s">
        <v>152</v>
      </c>
      <c r="KM43" s="321" t="s">
        <v>104</v>
      </c>
      <c r="KN43" s="321" t="s">
        <v>153</v>
      </c>
      <c r="KO43" s="321" t="s">
        <v>330</v>
      </c>
      <c r="KP43" s="321" t="s">
        <v>331</v>
      </c>
      <c r="KQ43" s="321" t="s">
        <v>338</v>
      </c>
      <c r="KR43" s="321" t="s">
        <v>151</v>
      </c>
      <c r="KS43" s="321" t="s">
        <v>347</v>
      </c>
      <c r="KT43" s="321" t="s">
        <v>348</v>
      </c>
      <c r="KU43" s="321" t="s">
        <v>333</v>
      </c>
      <c r="KV43" s="321" t="s">
        <v>155</v>
      </c>
      <c r="KW43" s="321" t="s">
        <v>349</v>
      </c>
      <c r="KX43" s="321" t="s">
        <v>332</v>
      </c>
      <c r="KY43" s="321" t="s">
        <v>330</v>
      </c>
      <c r="KZ43" s="321" t="s">
        <v>350</v>
      </c>
      <c r="LA43" s="321" t="s">
        <v>348</v>
      </c>
      <c r="LB43" s="321" t="s">
        <v>333</v>
      </c>
      <c r="LC43" s="321" t="s">
        <v>351</v>
      </c>
      <c r="ON43" s="321">
        <f t="shared" ref="ON43" ca="1" si="13857">IF(OO44="",SUM(PA4:PF4),IF(OO45="",SUM(PA5:PF5),IF(OO46="",SUM(PA6:PF6),IF(OO47="",SUM(PA7:PF7),0))))</f>
        <v>0</v>
      </c>
      <c r="OO43" s="321" t="s">
        <v>360</v>
      </c>
      <c r="OP43" s="321" t="s">
        <v>152</v>
      </c>
      <c r="OQ43" s="321" t="s">
        <v>104</v>
      </c>
      <c r="OR43" s="321" t="s">
        <v>153</v>
      </c>
      <c r="OS43" s="321" t="s">
        <v>330</v>
      </c>
      <c r="OT43" s="321" t="s">
        <v>331</v>
      </c>
      <c r="OU43" s="321" t="s">
        <v>338</v>
      </c>
      <c r="OV43" s="321" t="s">
        <v>151</v>
      </c>
      <c r="OW43" s="321" t="s">
        <v>347</v>
      </c>
      <c r="OX43" s="321" t="s">
        <v>348</v>
      </c>
      <c r="OY43" s="321" t="s">
        <v>333</v>
      </c>
      <c r="OZ43" s="321" t="s">
        <v>155</v>
      </c>
      <c r="PA43" s="321" t="s">
        <v>349</v>
      </c>
      <c r="PB43" s="321" t="s">
        <v>332</v>
      </c>
      <c r="PC43" s="321" t="s">
        <v>330</v>
      </c>
      <c r="PD43" s="321" t="s">
        <v>350</v>
      </c>
      <c r="PE43" s="321" t="s">
        <v>348</v>
      </c>
      <c r="PF43" s="321" t="s">
        <v>333</v>
      </c>
      <c r="PG43" s="321" t="s">
        <v>351</v>
      </c>
      <c r="PH43" s="321">
        <f t="shared" ref="PH43" ca="1" si="13858">IF(PI45="",SUM(PU5:PZ5),IF(PI46="",SUM(PU6:PZ6),IF(PI47="",SUM(PU7:PZ7),0)))</f>
        <v>0</v>
      </c>
      <c r="PI43" s="321" t="s">
        <v>361</v>
      </c>
      <c r="PJ43" s="321" t="s">
        <v>152</v>
      </c>
      <c r="PK43" s="321" t="s">
        <v>104</v>
      </c>
      <c r="PL43" s="321" t="s">
        <v>153</v>
      </c>
      <c r="PM43" s="321" t="s">
        <v>330</v>
      </c>
      <c r="PN43" s="321" t="s">
        <v>331</v>
      </c>
      <c r="PO43" s="321" t="s">
        <v>338</v>
      </c>
      <c r="PP43" s="321" t="s">
        <v>151</v>
      </c>
      <c r="PQ43" s="321" t="s">
        <v>347</v>
      </c>
      <c r="PR43" s="321" t="s">
        <v>348</v>
      </c>
      <c r="PS43" s="321" t="s">
        <v>333</v>
      </c>
      <c r="PT43" s="321" t="s">
        <v>155</v>
      </c>
      <c r="PU43" s="321" t="s">
        <v>349</v>
      </c>
      <c r="PV43" s="321" t="s">
        <v>332</v>
      </c>
      <c r="PW43" s="321" t="s">
        <v>330</v>
      </c>
      <c r="PX43" s="321" t="s">
        <v>350</v>
      </c>
      <c r="PY43" s="321" t="s">
        <v>348</v>
      </c>
      <c r="PZ43" s="321" t="s">
        <v>333</v>
      </c>
      <c r="QA43" s="321" t="s">
        <v>351</v>
      </c>
      <c r="TL43" s="321">
        <f t="shared" ref="TL43" ca="1" si="13859">IF(TM44="",SUM(TY4:UD4),IF(TM45="",SUM(TY5:UD5),IF(TM46="",SUM(TY6:UD6),IF(TM47="",SUM(TY7:UD7),0))))</f>
        <v>0</v>
      </c>
      <c r="TM43" s="321" t="s">
        <v>360</v>
      </c>
      <c r="TN43" s="321" t="s">
        <v>152</v>
      </c>
      <c r="TO43" s="321" t="s">
        <v>104</v>
      </c>
      <c r="TP43" s="321" t="s">
        <v>153</v>
      </c>
      <c r="TQ43" s="321" t="s">
        <v>330</v>
      </c>
      <c r="TR43" s="321" t="s">
        <v>331</v>
      </c>
      <c r="TS43" s="321" t="s">
        <v>338</v>
      </c>
      <c r="TT43" s="321" t="s">
        <v>151</v>
      </c>
      <c r="TU43" s="321" t="s">
        <v>347</v>
      </c>
      <c r="TV43" s="321" t="s">
        <v>348</v>
      </c>
      <c r="TW43" s="321" t="s">
        <v>333</v>
      </c>
      <c r="TX43" s="321" t="s">
        <v>155</v>
      </c>
      <c r="TY43" s="321" t="s">
        <v>349</v>
      </c>
      <c r="TZ43" s="321" t="s">
        <v>332</v>
      </c>
      <c r="UA43" s="321" t="s">
        <v>330</v>
      </c>
      <c r="UB43" s="321" t="s">
        <v>350</v>
      </c>
      <c r="UC43" s="321" t="s">
        <v>348</v>
      </c>
      <c r="UD43" s="321" t="s">
        <v>333</v>
      </c>
      <c r="UE43" s="321" t="s">
        <v>351</v>
      </c>
      <c r="UF43" s="321">
        <f t="shared" ref="UF43" ca="1" si="13860">IF(UG45="",SUM(US5:UX5),IF(UG46="",SUM(US6:UX6),IF(UG47="",SUM(US7:UX7),0)))</f>
        <v>0</v>
      </c>
      <c r="UG43" s="321" t="s">
        <v>361</v>
      </c>
      <c r="UH43" s="321" t="s">
        <v>152</v>
      </c>
      <c r="UI43" s="321" t="s">
        <v>104</v>
      </c>
      <c r="UJ43" s="321" t="s">
        <v>153</v>
      </c>
      <c r="UK43" s="321" t="s">
        <v>330</v>
      </c>
      <c r="UL43" s="321" t="s">
        <v>331</v>
      </c>
      <c r="UM43" s="321" t="s">
        <v>338</v>
      </c>
      <c r="UN43" s="321" t="s">
        <v>151</v>
      </c>
      <c r="UO43" s="321" t="s">
        <v>347</v>
      </c>
      <c r="UP43" s="321" t="s">
        <v>348</v>
      </c>
      <c r="UQ43" s="321" t="s">
        <v>333</v>
      </c>
      <c r="UR43" s="321" t="s">
        <v>155</v>
      </c>
      <c r="US43" s="321" t="s">
        <v>349</v>
      </c>
      <c r="UT43" s="321" t="s">
        <v>332</v>
      </c>
      <c r="UU43" s="321" t="s">
        <v>330</v>
      </c>
      <c r="UV43" s="321" t="s">
        <v>350</v>
      </c>
      <c r="UW43" s="321" t="s">
        <v>348</v>
      </c>
      <c r="UX43" s="321" t="s">
        <v>333</v>
      </c>
      <c r="UY43" s="321" t="s">
        <v>351</v>
      </c>
      <c r="YJ43" s="321">
        <f t="shared" ref="YJ43" ca="1" si="13861">IF(YK44="",SUM(YW4:ZB4),IF(YK45="",SUM(YW5:ZB5),IF(YK46="",SUM(YW6:ZB6),IF(YK47="",SUM(YW7:ZB7),0))))</f>
        <v>0</v>
      </c>
      <c r="YK43" s="321" t="s">
        <v>360</v>
      </c>
      <c r="YL43" s="321" t="s">
        <v>152</v>
      </c>
      <c r="YM43" s="321" t="s">
        <v>104</v>
      </c>
      <c r="YN43" s="321" t="s">
        <v>153</v>
      </c>
      <c r="YO43" s="321" t="s">
        <v>330</v>
      </c>
      <c r="YP43" s="321" t="s">
        <v>331</v>
      </c>
      <c r="YQ43" s="321" t="s">
        <v>338</v>
      </c>
      <c r="YR43" s="321" t="s">
        <v>151</v>
      </c>
      <c r="YS43" s="321" t="s">
        <v>347</v>
      </c>
      <c r="YT43" s="321" t="s">
        <v>348</v>
      </c>
      <c r="YU43" s="321" t="s">
        <v>333</v>
      </c>
      <c r="YV43" s="321" t="s">
        <v>155</v>
      </c>
      <c r="YW43" s="321" t="s">
        <v>349</v>
      </c>
      <c r="YX43" s="321" t="s">
        <v>332</v>
      </c>
      <c r="YY43" s="321" t="s">
        <v>330</v>
      </c>
      <c r="YZ43" s="321" t="s">
        <v>350</v>
      </c>
      <c r="ZA43" s="321" t="s">
        <v>348</v>
      </c>
      <c r="ZB43" s="321" t="s">
        <v>333</v>
      </c>
      <c r="ZC43" s="321" t="s">
        <v>351</v>
      </c>
      <c r="ZD43" s="321">
        <f t="shared" ref="ZD43" ca="1" si="13862">IF(ZE45="",SUM(ZQ5:ZV5),IF(ZE46="",SUM(ZQ6:ZV6),IF(ZE47="",SUM(ZQ7:ZV7),0)))</f>
        <v>0</v>
      </c>
      <c r="ZE43" s="321" t="s">
        <v>361</v>
      </c>
      <c r="ZF43" s="321" t="s">
        <v>152</v>
      </c>
      <c r="ZG43" s="321" t="s">
        <v>104</v>
      </c>
      <c r="ZH43" s="321" t="s">
        <v>153</v>
      </c>
      <c r="ZI43" s="321" t="s">
        <v>330</v>
      </c>
      <c r="ZJ43" s="321" t="s">
        <v>331</v>
      </c>
      <c r="ZK43" s="321" t="s">
        <v>338</v>
      </c>
      <c r="ZL43" s="321" t="s">
        <v>151</v>
      </c>
      <c r="ZM43" s="321" t="s">
        <v>347</v>
      </c>
      <c r="ZN43" s="321" t="s">
        <v>348</v>
      </c>
      <c r="ZO43" s="321" t="s">
        <v>333</v>
      </c>
      <c r="ZP43" s="321" t="s">
        <v>155</v>
      </c>
      <c r="ZQ43" s="321" t="s">
        <v>349</v>
      </c>
      <c r="ZR43" s="321" t="s">
        <v>332</v>
      </c>
      <c r="ZS43" s="321" t="s">
        <v>330</v>
      </c>
      <c r="ZT43" s="321" t="s">
        <v>350</v>
      </c>
      <c r="ZU43" s="321" t="s">
        <v>348</v>
      </c>
      <c r="ZV43" s="321" t="s">
        <v>333</v>
      </c>
      <c r="ZW43" s="321" t="s">
        <v>351</v>
      </c>
      <c r="ADH43" s="321">
        <f t="shared" ref="ADH43" ca="1" si="13863">IF(ADI44="",SUM(ADU4:ADZ4),IF(ADI45="",SUM(ADU5:ADZ5),IF(ADI46="",SUM(ADU6:ADZ6),IF(ADI47="",SUM(ADU7:ADZ7),0))))</f>
        <v>0</v>
      </c>
      <c r="ADI43" s="321" t="s">
        <v>360</v>
      </c>
      <c r="ADJ43" s="321" t="s">
        <v>152</v>
      </c>
      <c r="ADK43" s="321" t="s">
        <v>104</v>
      </c>
      <c r="ADL43" s="321" t="s">
        <v>153</v>
      </c>
      <c r="ADM43" s="321" t="s">
        <v>330</v>
      </c>
      <c r="ADN43" s="321" t="s">
        <v>331</v>
      </c>
      <c r="ADO43" s="321" t="s">
        <v>338</v>
      </c>
      <c r="ADP43" s="321" t="s">
        <v>151</v>
      </c>
      <c r="ADQ43" s="321" t="s">
        <v>347</v>
      </c>
      <c r="ADR43" s="321" t="s">
        <v>348</v>
      </c>
      <c r="ADS43" s="321" t="s">
        <v>333</v>
      </c>
      <c r="ADT43" s="321" t="s">
        <v>155</v>
      </c>
      <c r="ADU43" s="321" t="s">
        <v>349</v>
      </c>
      <c r="ADV43" s="321" t="s">
        <v>332</v>
      </c>
      <c r="ADW43" s="321" t="s">
        <v>330</v>
      </c>
      <c r="ADX43" s="321" t="s">
        <v>350</v>
      </c>
      <c r="ADY43" s="321" t="s">
        <v>348</v>
      </c>
      <c r="ADZ43" s="321" t="s">
        <v>333</v>
      </c>
      <c r="AEA43" s="321" t="s">
        <v>351</v>
      </c>
      <c r="AEB43" s="321">
        <f t="shared" ref="AEB43" ca="1" si="13864">IF(AEC45="",SUM(AEO5:AET5),IF(AEC46="",SUM(AEO6:AET6),IF(AEC47="",SUM(AEO7:AET7),0)))</f>
        <v>0</v>
      </c>
      <c r="AEC43" s="321" t="s">
        <v>361</v>
      </c>
      <c r="AED43" s="321" t="s">
        <v>152</v>
      </c>
      <c r="AEE43" s="321" t="s">
        <v>104</v>
      </c>
      <c r="AEF43" s="321" t="s">
        <v>153</v>
      </c>
      <c r="AEG43" s="321" t="s">
        <v>330</v>
      </c>
      <c r="AEH43" s="321" t="s">
        <v>331</v>
      </c>
      <c r="AEI43" s="321" t="s">
        <v>338</v>
      </c>
      <c r="AEJ43" s="321" t="s">
        <v>151</v>
      </c>
      <c r="AEK43" s="321" t="s">
        <v>347</v>
      </c>
      <c r="AEL43" s="321" t="s">
        <v>348</v>
      </c>
      <c r="AEM43" s="321" t="s">
        <v>333</v>
      </c>
      <c r="AEN43" s="321" t="s">
        <v>155</v>
      </c>
      <c r="AEO43" s="321" t="s">
        <v>349</v>
      </c>
      <c r="AEP43" s="321" t="s">
        <v>332</v>
      </c>
      <c r="AEQ43" s="321" t="s">
        <v>330</v>
      </c>
      <c r="AER43" s="321" t="s">
        <v>350</v>
      </c>
      <c r="AES43" s="321" t="s">
        <v>348</v>
      </c>
      <c r="AET43" s="321" t="s">
        <v>333</v>
      </c>
      <c r="AEU43" s="321" t="s">
        <v>351</v>
      </c>
      <c r="AIF43" s="321">
        <f t="shared" ref="AIF43" ca="1" si="13865">IF(AIG44="",SUM(AIS4:AIX4),IF(AIG45="",SUM(AIS5:AIX5),IF(AIG46="",SUM(AIS6:AIX6),IF(AIG47="",SUM(AIS7:AIX7),0))))</f>
        <v>0</v>
      </c>
      <c r="AIG43" s="321" t="s">
        <v>360</v>
      </c>
      <c r="AIH43" s="321" t="s">
        <v>152</v>
      </c>
      <c r="AII43" s="321" t="s">
        <v>104</v>
      </c>
      <c r="AIJ43" s="321" t="s">
        <v>153</v>
      </c>
      <c r="AIK43" s="321" t="s">
        <v>330</v>
      </c>
      <c r="AIL43" s="321" t="s">
        <v>331</v>
      </c>
      <c r="AIM43" s="321" t="s">
        <v>338</v>
      </c>
      <c r="AIN43" s="321" t="s">
        <v>151</v>
      </c>
      <c r="AIO43" s="321" t="s">
        <v>347</v>
      </c>
      <c r="AIP43" s="321" t="s">
        <v>348</v>
      </c>
      <c r="AIQ43" s="321" t="s">
        <v>333</v>
      </c>
      <c r="AIR43" s="321" t="s">
        <v>155</v>
      </c>
      <c r="AIS43" s="321" t="s">
        <v>349</v>
      </c>
      <c r="AIT43" s="321" t="s">
        <v>332</v>
      </c>
      <c r="AIU43" s="321" t="s">
        <v>330</v>
      </c>
      <c r="AIV43" s="321" t="s">
        <v>350</v>
      </c>
      <c r="AIW43" s="321" t="s">
        <v>348</v>
      </c>
      <c r="AIX43" s="321" t="s">
        <v>333</v>
      </c>
      <c r="AIY43" s="321" t="s">
        <v>351</v>
      </c>
      <c r="AIZ43" s="321">
        <f t="shared" ref="AIZ43" ca="1" si="13866">IF(AJA45="",SUM(AJM5:AJR5),IF(AJA46="",SUM(AJM6:AJR6),IF(AJA47="",SUM(AJM7:AJR7),0)))</f>
        <v>0</v>
      </c>
      <c r="AJA43" s="321" t="s">
        <v>361</v>
      </c>
      <c r="AJB43" s="321" t="s">
        <v>152</v>
      </c>
      <c r="AJC43" s="321" t="s">
        <v>104</v>
      </c>
      <c r="AJD43" s="321" t="s">
        <v>153</v>
      </c>
      <c r="AJE43" s="321" t="s">
        <v>330</v>
      </c>
      <c r="AJF43" s="321" t="s">
        <v>331</v>
      </c>
      <c r="AJG43" s="321" t="s">
        <v>338</v>
      </c>
      <c r="AJH43" s="321" t="s">
        <v>151</v>
      </c>
      <c r="AJI43" s="321" t="s">
        <v>347</v>
      </c>
      <c r="AJJ43" s="321" t="s">
        <v>348</v>
      </c>
      <c r="AJK43" s="321" t="s">
        <v>333</v>
      </c>
      <c r="AJL43" s="321" t="s">
        <v>155</v>
      </c>
      <c r="AJM43" s="321" t="s">
        <v>349</v>
      </c>
      <c r="AJN43" s="321" t="s">
        <v>332</v>
      </c>
      <c r="AJO43" s="321" t="s">
        <v>330</v>
      </c>
      <c r="AJP43" s="321" t="s">
        <v>350</v>
      </c>
      <c r="AJQ43" s="321" t="s">
        <v>348</v>
      </c>
      <c r="AJR43" s="321" t="s">
        <v>333</v>
      </c>
      <c r="AJS43" s="321" t="s">
        <v>351</v>
      </c>
      <c r="AND43" s="321">
        <f t="shared" ref="AND43" ca="1" si="13867">IF(ANE44="",SUM(ANQ4:ANV4),IF(ANE45="",SUM(ANQ5:ANV5),IF(ANE46="",SUM(ANQ6:ANV6),IF(ANE47="",SUM(ANQ7:ANV7),0))))</f>
        <v>0</v>
      </c>
      <c r="ANE43" s="321" t="s">
        <v>360</v>
      </c>
      <c r="ANF43" s="321" t="s">
        <v>152</v>
      </c>
      <c r="ANG43" s="321" t="s">
        <v>104</v>
      </c>
      <c r="ANH43" s="321" t="s">
        <v>153</v>
      </c>
      <c r="ANI43" s="321" t="s">
        <v>330</v>
      </c>
      <c r="ANJ43" s="321" t="s">
        <v>331</v>
      </c>
      <c r="ANK43" s="321" t="s">
        <v>338</v>
      </c>
      <c r="ANL43" s="321" t="s">
        <v>151</v>
      </c>
      <c r="ANM43" s="321" t="s">
        <v>347</v>
      </c>
      <c r="ANN43" s="321" t="s">
        <v>348</v>
      </c>
      <c r="ANO43" s="321" t="s">
        <v>333</v>
      </c>
      <c r="ANP43" s="321" t="s">
        <v>155</v>
      </c>
      <c r="ANQ43" s="321" t="s">
        <v>349</v>
      </c>
      <c r="ANR43" s="321" t="s">
        <v>332</v>
      </c>
      <c r="ANS43" s="321" t="s">
        <v>330</v>
      </c>
      <c r="ANT43" s="321" t="s">
        <v>350</v>
      </c>
      <c r="ANU43" s="321" t="s">
        <v>348</v>
      </c>
      <c r="ANV43" s="321" t="s">
        <v>333</v>
      </c>
      <c r="ANW43" s="321" t="s">
        <v>351</v>
      </c>
      <c r="ANX43" s="321">
        <f t="shared" ref="ANX43" ca="1" si="13868">IF(ANY45="",SUM(AOK5:AOP5),IF(ANY46="",SUM(AOK6:AOP6),IF(ANY47="",SUM(AOK7:AOP7),0)))</f>
        <v>0</v>
      </c>
      <c r="ANY43" s="321" t="s">
        <v>361</v>
      </c>
      <c r="ANZ43" s="321" t="s">
        <v>152</v>
      </c>
      <c r="AOA43" s="321" t="s">
        <v>104</v>
      </c>
      <c r="AOB43" s="321" t="s">
        <v>153</v>
      </c>
      <c r="AOC43" s="321" t="s">
        <v>330</v>
      </c>
      <c r="AOD43" s="321" t="s">
        <v>331</v>
      </c>
      <c r="AOE43" s="321" t="s">
        <v>338</v>
      </c>
      <c r="AOF43" s="321" t="s">
        <v>151</v>
      </c>
      <c r="AOG43" s="321" t="s">
        <v>347</v>
      </c>
      <c r="AOH43" s="321" t="s">
        <v>348</v>
      </c>
      <c r="AOI43" s="321" t="s">
        <v>333</v>
      </c>
      <c r="AOJ43" s="321" t="s">
        <v>155</v>
      </c>
      <c r="AOK43" s="321" t="s">
        <v>349</v>
      </c>
      <c r="AOL43" s="321" t="s">
        <v>332</v>
      </c>
      <c r="AOM43" s="321" t="s">
        <v>330</v>
      </c>
      <c r="AON43" s="321" t="s">
        <v>350</v>
      </c>
      <c r="AOO43" s="321" t="s">
        <v>348</v>
      </c>
      <c r="AOP43" s="321" t="s">
        <v>333</v>
      </c>
      <c r="AOQ43" s="321" t="s">
        <v>351</v>
      </c>
      <c r="ASB43" s="321">
        <f t="shared" ref="ASB43" ca="1" si="13869">IF(ASC44="",SUM(ASO4:AST4),IF(ASC45="",SUM(ASO5:AST5),IF(ASC46="",SUM(ASO6:AST6),IF(ASC47="",SUM(ASO7:AST7),0))))</f>
        <v>0</v>
      </c>
      <c r="ASC43" s="321" t="s">
        <v>360</v>
      </c>
      <c r="ASD43" s="321" t="s">
        <v>152</v>
      </c>
      <c r="ASE43" s="321" t="s">
        <v>104</v>
      </c>
      <c r="ASF43" s="321" t="s">
        <v>153</v>
      </c>
      <c r="ASG43" s="321" t="s">
        <v>330</v>
      </c>
      <c r="ASH43" s="321" t="s">
        <v>331</v>
      </c>
      <c r="ASI43" s="321" t="s">
        <v>338</v>
      </c>
      <c r="ASJ43" s="321" t="s">
        <v>151</v>
      </c>
      <c r="ASK43" s="321" t="s">
        <v>347</v>
      </c>
      <c r="ASL43" s="321" t="s">
        <v>348</v>
      </c>
      <c r="ASM43" s="321" t="s">
        <v>333</v>
      </c>
      <c r="ASN43" s="321" t="s">
        <v>155</v>
      </c>
      <c r="ASO43" s="321" t="s">
        <v>349</v>
      </c>
      <c r="ASP43" s="321" t="s">
        <v>332</v>
      </c>
      <c r="ASQ43" s="321" t="s">
        <v>330</v>
      </c>
      <c r="ASR43" s="321" t="s">
        <v>350</v>
      </c>
      <c r="ASS43" s="321" t="s">
        <v>348</v>
      </c>
      <c r="AST43" s="321" t="s">
        <v>333</v>
      </c>
      <c r="ASU43" s="321" t="s">
        <v>351</v>
      </c>
      <c r="ASV43" s="321">
        <f t="shared" ref="ASV43" ca="1" si="13870">IF(ASW45="",SUM(ATI5:ATN5),IF(ASW46="",SUM(ATI6:ATN6),IF(ASW47="",SUM(ATI7:ATN7),0)))</f>
        <v>0</v>
      </c>
      <c r="ASW43" s="321" t="s">
        <v>361</v>
      </c>
      <c r="ASX43" s="321" t="s">
        <v>152</v>
      </c>
      <c r="ASY43" s="321" t="s">
        <v>104</v>
      </c>
      <c r="ASZ43" s="321" t="s">
        <v>153</v>
      </c>
      <c r="ATA43" s="321" t="s">
        <v>330</v>
      </c>
      <c r="ATB43" s="321" t="s">
        <v>331</v>
      </c>
      <c r="ATC43" s="321" t="s">
        <v>338</v>
      </c>
      <c r="ATD43" s="321" t="s">
        <v>151</v>
      </c>
      <c r="ATE43" s="321" t="s">
        <v>347</v>
      </c>
      <c r="ATF43" s="321" t="s">
        <v>348</v>
      </c>
      <c r="ATG43" s="321" t="s">
        <v>333</v>
      </c>
      <c r="ATH43" s="321" t="s">
        <v>155</v>
      </c>
      <c r="ATI43" s="321" t="s">
        <v>349</v>
      </c>
      <c r="ATJ43" s="321" t="s">
        <v>332</v>
      </c>
      <c r="ATK43" s="321" t="s">
        <v>330</v>
      </c>
      <c r="ATL43" s="321" t="s">
        <v>350</v>
      </c>
      <c r="ATM43" s="321" t="s">
        <v>348</v>
      </c>
      <c r="ATN43" s="321" t="s">
        <v>333</v>
      </c>
      <c r="ATO43" s="321" t="s">
        <v>351</v>
      </c>
      <c r="AWZ43" s="321">
        <f t="shared" ref="AWZ43" ca="1" si="13871">IF(AXA44="",SUM(AXM4:AXR4),IF(AXA45="",SUM(AXM5:AXR5),IF(AXA46="",SUM(AXM6:AXR6),IF(AXA47="",SUM(AXM7:AXR7),0))))</f>
        <v>0</v>
      </c>
      <c r="AXA43" s="321" t="s">
        <v>360</v>
      </c>
      <c r="AXB43" s="321" t="s">
        <v>152</v>
      </c>
      <c r="AXC43" s="321" t="s">
        <v>104</v>
      </c>
      <c r="AXD43" s="321" t="s">
        <v>153</v>
      </c>
      <c r="AXE43" s="321" t="s">
        <v>330</v>
      </c>
      <c r="AXF43" s="321" t="s">
        <v>331</v>
      </c>
      <c r="AXG43" s="321" t="s">
        <v>338</v>
      </c>
      <c r="AXH43" s="321" t="s">
        <v>151</v>
      </c>
      <c r="AXI43" s="321" t="s">
        <v>347</v>
      </c>
      <c r="AXJ43" s="321" t="s">
        <v>348</v>
      </c>
      <c r="AXK43" s="321" t="s">
        <v>333</v>
      </c>
      <c r="AXL43" s="321" t="s">
        <v>155</v>
      </c>
      <c r="AXM43" s="321" t="s">
        <v>349</v>
      </c>
      <c r="AXN43" s="321" t="s">
        <v>332</v>
      </c>
      <c r="AXO43" s="321" t="s">
        <v>330</v>
      </c>
      <c r="AXP43" s="321" t="s">
        <v>350</v>
      </c>
      <c r="AXQ43" s="321" t="s">
        <v>348</v>
      </c>
      <c r="AXR43" s="321" t="s">
        <v>333</v>
      </c>
      <c r="AXS43" s="321" t="s">
        <v>351</v>
      </c>
      <c r="AXT43" s="321">
        <f t="shared" ref="AXT43" ca="1" si="13872">IF(AXU45="",SUM(AYG5:AYL5),IF(AXU46="",SUM(AYG6:AYL6),IF(AXU47="",SUM(AYG7:AYL7),0)))</f>
        <v>0</v>
      </c>
      <c r="AXU43" s="321" t="s">
        <v>361</v>
      </c>
      <c r="AXV43" s="321" t="s">
        <v>152</v>
      </c>
      <c r="AXW43" s="321" t="s">
        <v>104</v>
      </c>
      <c r="AXX43" s="321" t="s">
        <v>153</v>
      </c>
      <c r="AXY43" s="321" t="s">
        <v>330</v>
      </c>
      <c r="AXZ43" s="321" t="s">
        <v>331</v>
      </c>
      <c r="AYA43" s="321" t="s">
        <v>338</v>
      </c>
      <c r="AYB43" s="321" t="s">
        <v>151</v>
      </c>
      <c r="AYC43" s="321" t="s">
        <v>347</v>
      </c>
      <c r="AYD43" s="321" t="s">
        <v>348</v>
      </c>
      <c r="AYE43" s="321" t="s">
        <v>333</v>
      </c>
      <c r="AYF43" s="321" t="s">
        <v>155</v>
      </c>
      <c r="AYG43" s="321" t="s">
        <v>349</v>
      </c>
      <c r="AYH43" s="321" t="s">
        <v>332</v>
      </c>
      <c r="AYI43" s="321" t="s">
        <v>330</v>
      </c>
      <c r="AYJ43" s="321" t="s">
        <v>350</v>
      </c>
      <c r="AYK43" s="321" t="s">
        <v>348</v>
      </c>
      <c r="AYL43" s="321" t="s">
        <v>333</v>
      </c>
      <c r="AYM43" s="321" t="s">
        <v>351</v>
      </c>
      <c r="BBX43" s="321">
        <f t="shared" ref="BBX43" ca="1" si="13873">IF(BBY44="",SUM(BCK4:BCP4),IF(BBY45="",SUM(BCK5:BCP5),IF(BBY46="",SUM(BCK6:BCP6),IF(BBY47="",SUM(BCK7:BCP7),0))))</f>
        <v>0</v>
      </c>
      <c r="BBY43" s="321" t="s">
        <v>360</v>
      </c>
      <c r="BBZ43" s="321" t="s">
        <v>152</v>
      </c>
      <c r="BCA43" s="321" t="s">
        <v>104</v>
      </c>
      <c r="BCB43" s="321" t="s">
        <v>153</v>
      </c>
      <c r="BCC43" s="321" t="s">
        <v>330</v>
      </c>
      <c r="BCD43" s="321" t="s">
        <v>331</v>
      </c>
      <c r="BCE43" s="321" t="s">
        <v>338</v>
      </c>
      <c r="BCF43" s="321" t="s">
        <v>151</v>
      </c>
      <c r="BCG43" s="321" t="s">
        <v>347</v>
      </c>
      <c r="BCH43" s="321" t="s">
        <v>348</v>
      </c>
      <c r="BCI43" s="321" t="s">
        <v>333</v>
      </c>
      <c r="BCJ43" s="321" t="s">
        <v>155</v>
      </c>
      <c r="BCK43" s="321" t="s">
        <v>349</v>
      </c>
      <c r="BCL43" s="321" t="s">
        <v>332</v>
      </c>
      <c r="BCM43" s="321" t="s">
        <v>330</v>
      </c>
      <c r="BCN43" s="321" t="s">
        <v>350</v>
      </c>
      <c r="BCO43" s="321" t="s">
        <v>348</v>
      </c>
      <c r="BCP43" s="321" t="s">
        <v>333</v>
      </c>
      <c r="BCQ43" s="321" t="s">
        <v>351</v>
      </c>
      <c r="BCR43" s="321">
        <f t="shared" ref="BCR43" ca="1" si="13874">IF(BCS45="",SUM(BDE5:BDJ5),IF(BCS46="",SUM(BDE6:BDJ6),IF(BCS47="",SUM(BDE7:BDJ7),0)))</f>
        <v>0</v>
      </c>
      <c r="BCS43" s="321" t="s">
        <v>361</v>
      </c>
      <c r="BCT43" s="321" t="s">
        <v>152</v>
      </c>
      <c r="BCU43" s="321" t="s">
        <v>104</v>
      </c>
      <c r="BCV43" s="321" t="s">
        <v>153</v>
      </c>
      <c r="BCW43" s="321" t="s">
        <v>330</v>
      </c>
      <c r="BCX43" s="321" t="s">
        <v>331</v>
      </c>
      <c r="BCY43" s="321" t="s">
        <v>338</v>
      </c>
      <c r="BCZ43" s="321" t="s">
        <v>151</v>
      </c>
      <c r="BDA43" s="321" t="s">
        <v>347</v>
      </c>
      <c r="BDB43" s="321" t="s">
        <v>348</v>
      </c>
      <c r="BDC43" s="321" t="s">
        <v>333</v>
      </c>
      <c r="BDD43" s="321" t="s">
        <v>155</v>
      </c>
      <c r="BDE43" s="321" t="s">
        <v>349</v>
      </c>
      <c r="BDF43" s="321" t="s">
        <v>332</v>
      </c>
      <c r="BDG43" s="321" t="s">
        <v>330</v>
      </c>
      <c r="BDH43" s="321" t="s">
        <v>350</v>
      </c>
      <c r="BDI43" s="321" t="s">
        <v>348</v>
      </c>
      <c r="BDJ43" s="321" t="s">
        <v>333</v>
      </c>
      <c r="BDK43" s="321" t="s">
        <v>351</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f t="shared" ref="AEB45" ca="1" si="14193">IF(AEC5&lt;&gt;"",SUMPRODUCT((AEJ4:AEJ7=AEJ5)*(AEI4:AEI7=AEI5)*(AEG4:AEG7=AEG5)*(AEH4:AEH7=AEH5)),"")</f>
        <v>2</v>
      </c>
      <c r="AEC45" s="321" t="str">
        <f t="shared" ref="AEC45:AEC47" ca="1" si="14194">IF(AND(AEB45&lt;&gt;"",AEB45&gt;1),AEC5,"")</f>
        <v>Switzerland</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1">
        <f t="shared" ref="AEI45:AEI47" ca="1" si="14200">AEG45-AEH45+1000</f>
        <v>1000</v>
      </c>
      <c r="AEJ45" s="321">
        <f t="shared" ref="AEJ45:AEJ47" ca="1" si="14201">IF(AEC45&lt;&gt;"",AED45*3+AEE45*1,"")</f>
        <v>1</v>
      </c>
      <c r="AEK45" s="321">
        <f t="shared" ref="AEK45" ca="1" si="14202">IF(AEC45&lt;&gt;"",VLOOKUP(AEC45,ACP4:ACV40,7,FALSE),"")</f>
        <v>1000</v>
      </c>
      <c r="AEL45" s="321">
        <f t="shared" ref="AEL45" ca="1" si="14203">IF(AEC45&lt;&gt;"",VLOOKUP(AEC45,ACP4:ACV40,5,FALSE),"")</f>
        <v>4</v>
      </c>
      <c r="AEM45" s="321">
        <f t="shared" ref="AEM45" ca="1" si="14204">IF(AEC45&lt;&gt;"",VLOOKUP(AEC45,ACP4:ACX40,9,FALSE),"")</f>
        <v>34</v>
      </c>
      <c r="AEN45" s="321">
        <f t="shared" ref="AEN45:AEN47" ca="1" si="14205">AEJ45</f>
        <v>1</v>
      </c>
      <c r="AEO45" s="321">
        <f t="shared" ref="AEO45" ca="1" si="14206">IF(AEC45&lt;&gt;"",RANK(AEN45,AEN44:AEN47),"")</f>
        <v>1</v>
      </c>
      <c r="AEP45" s="321">
        <f t="shared" ref="AEP45" ca="1" si="14207">IF(AEC45&lt;&gt;"",SUMPRODUCT((AEN44:AEN47=AEN45)*(AEI44:AEI47&gt;AEI45)),"")</f>
        <v>0</v>
      </c>
      <c r="AEQ45" s="321">
        <f t="shared" ref="AEQ45" ca="1" si="14208">IF(AEC45&lt;&gt;"",SUMPRODUCT((AEN44:AEN47=AEN45)*(AEI44:AEI47=AEI45)*(AEG44:AEG47&gt;AEG45)),"")</f>
        <v>0</v>
      </c>
      <c r="AER45" s="321">
        <f t="shared" ref="AER45" ca="1" si="14209">IF(AEC45&lt;&gt;"",SUMPRODUCT((AEN44:AEN47=AEN45)*(AEI44:AEI47=AEI45)*(AEG44:AEG47=AEG45)*(AEK44:AEK47&gt;AEK45)),"")</f>
        <v>0</v>
      </c>
      <c r="AES45" s="321">
        <f t="shared" ref="AES45" ca="1" si="14210">IF(AEC45&lt;&gt;"",SUMPRODUCT((AEN44:AEN47=AEN45)*(AEI44:AEI47=AEI45)*(AEG44:AEG47=AEG45)*(AEK44:AEK47=AEK45)*(AEL44:AEL47&gt;AEL45)),"")</f>
        <v>0</v>
      </c>
      <c r="AET45" s="321">
        <f t="shared" ref="AET45" ca="1" si="14211">IF(AEC45&lt;&gt;"",SUMPRODUCT((AEN44:AEN47=AEN45)*(AEI44:AEI47=AEI45)*(AEG44:AEG47=AEG45)*(AEK44:AEK47=AEK45)*(AEL44:AEL47=AEL45)*(AEM44:AEM47&gt;AEM45)),"")</f>
        <v>0</v>
      </c>
      <c r="AEU45" s="321">
        <f t="shared" ref="AEU45" ca="1" si="14212">IF(AEC45&lt;&gt;"",SUM(AEO45:AET45)+1,"")</f>
        <v>2</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1</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1</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f t="shared" ref="AEB46" ca="1" si="14499">IF(AEC6&lt;&gt;"",SUMPRODUCT((AEJ4:AEJ7=AEJ6)*(AEI4:AEI7=AEI6)*(AEG4:AEG7=AEG6)*(AEH4:AEH7=AEH6)),"")</f>
        <v>2</v>
      </c>
      <c r="AEC46" s="321" t="str">
        <f t="shared" ca="1" si="14194"/>
        <v>Scotland</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1">
        <f t="shared" ca="1" si="14200"/>
        <v>1000</v>
      </c>
      <c r="AEJ46" s="321">
        <f t="shared" ca="1" si="14201"/>
        <v>1</v>
      </c>
      <c r="AEK46" s="321">
        <f t="shared" ref="AEK46" ca="1" si="14505">IF(AEC46&lt;&gt;"",VLOOKUP(AEC46,ACP4:ACV40,7,FALSE),"")</f>
        <v>999</v>
      </c>
      <c r="AEL46" s="321">
        <f t="shared" ref="AEL46" ca="1" si="14506">IF(AEC46&lt;&gt;"",VLOOKUP(AEC46,ACP4:ACV40,5,FALSE),"")</f>
        <v>4</v>
      </c>
      <c r="AEM46" s="321">
        <f t="shared" ref="AEM46" ca="1" si="14507">IF(AEC46&lt;&gt;"",VLOOKUP(AEC46,ACP4:ACX40,9,FALSE),"")</f>
        <v>43</v>
      </c>
      <c r="AEN46" s="321">
        <f t="shared" ca="1" si="14205"/>
        <v>1</v>
      </c>
      <c r="AEO46" s="321">
        <f t="shared" ref="AEO46" ca="1" si="14508">IF(AEC46&lt;&gt;"",RANK(AEN46,AEN44:AEN47),"")</f>
        <v>1</v>
      </c>
      <c r="AEP46" s="321">
        <f t="shared" ref="AEP46" ca="1" si="14509">IF(AEC46&lt;&gt;"",SUMPRODUCT((AEN44:AEN47=AEN46)*(AEI44:AEI47&gt;AEI46)),"")</f>
        <v>0</v>
      </c>
      <c r="AEQ46" s="321">
        <f t="shared" ref="AEQ46" ca="1" si="14510">IF(AEC46&lt;&gt;"",SUMPRODUCT((AEN44:AEN47=AEN46)*(AEI44:AEI47=AEI46)*(AEG44:AEG47&gt;AEG46)),"")</f>
        <v>0</v>
      </c>
      <c r="AER46" s="321">
        <f t="shared" ref="AER46" ca="1" si="14511">IF(AEC46&lt;&gt;"",SUMPRODUCT((AEN44:AEN47=AEN46)*(AEI44:AEI47=AEI46)*(AEG44:AEG47=AEG46)*(AEK44:AEK47&gt;AEK46)),"")</f>
        <v>1</v>
      </c>
      <c r="AES46" s="321">
        <f t="shared" ref="AES46" ca="1" si="14512">IF(AEC46&lt;&gt;"",SUMPRODUCT((AEN44:AEN47=AEN46)*(AEI44:AEI47=AEI46)*(AEG44:AEG47=AEG46)*(AEK44:AEK47=AEK46)*(AEL44:AEL47&gt;AEL46)),"")</f>
        <v>0</v>
      </c>
      <c r="AET46" s="321">
        <f t="shared" ref="AET46" ca="1" si="14513">IF(AEC46&lt;&gt;"",SUMPRODUCT((AEN44:AEN47=AEN46)*(AEI44:AEI47=AEI46)*(AEG44:AEG47=AEG46)*(AEK44:AEK47=AEK46)*(AEL44:AEL47=AEL46)*(AEM44:AEM47&gt;AEM46)),"")</f>
        <v>0</v>
      </c>
      <c r="AEU46" s="321">
        <f t="shared" ref="AEU46:AEU47" ca="1" si="14514">IF(AEC46&lt;&gt;"",SUM(AEO46:AET46)+1,"")</f>
        <v>3</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362</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363</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f ca="1">IF(ES11&lt;&gt;"",SUMPRODUCT((EZ11:EZ14=EZ11)*(EY11:EY14=EY11)*(EW11:EW14=EW11)*(EX11:EX14=EX11)),"")</f>
        <v>2</v>
      </c>
      <c r="ES51" s="321" t="str">
        <f ca="1">IF(AND(ER51&lt;&gt;"",ER51&gt;1),ES11,"")</f>
        <v>Italy</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1">
        <f ca="1">EW51-EX51+1000</f>
        <v>1000</v>
      </c>
      <c r="EZ51" s="321">
        <f t="shared" ref="EZ51:EZ54" ca="1" si="14960">IF(ES51&lt;&gt;"",ET51*3+EU51*1,"")</f>
        <v>1</v>
      </c>
      <c r="FA51" s="321">
        <f ca="1">IF(ES51&lt;&gt;"",VLOOKUP(ES51,DZ4:EF40,7,FALSE),"")</f>
        <v>1004</v>
      </c>
      <c r="FB51" s="321">
        <f ca="1">IF(ES51&lt;&gt;"",VLOOKUP(ES51,DZ4:EF40,5,FALSE),"")</f>
        <v>8</v>
      </c>
      <c r="FC51" s="321">
        <f ca="1">IF(ES51&lt;&gt;"",VLOOKUP(ES51,DZ4:EH40,9,FALSE),"")</f>
        <v>36</v>
      </c>
      <c r="FD51" s="321">
        <f ca="1">EZ51</f>
        <v>1</v>
      </c>
      <c r="FE51" s="321">
        <f ca="1">IF(ES51&lt;&gt;"",RANK(FD51,FD51:FD54),"")</f>
        <v>1</v>
      </c>
      <c r="FF51" s="321">
        <f ca="1">IF(ES51&lt;&gt;"",SUMPRODUCT((FD51:FD54=FD51)*(EY51:EY54&gt;EY51)),"")</f>
        <v>0</v>
      </c>
      <c r="FG51" s="321">
        <f ca="1">IF(ES51&lt;&gt;"",SUMPRODUCT((FD51:FD54=FD51)*(EY51:EY54=EY51)*(EW51:EW54&gt;EW51)),"")</f>
        <v>0</v>
      </c>
      <c r="FH51" s="321">
        <f ca="1">IF(ES51&lt;&gt;"",SUMPRODUCT((FD51:FD54=FD51)*(EY51:EY54=EY51)*(EW51:EW54=EW51)*(FA51:FA54&gt;FA51)),"")</f>
        <v>1</v>
      </c>
      <c r="FI51" s="321">
        <f ca="1">IF(ES51&lt;&gt;"",SUMPRODUCT((FD51:FD54=FD51)*(EY51:EY54=EY51)*(EW51:EW54=EW51)*(FA51:FA54=FA51)*(FB51:FB54&gt;FB51)),"")</f>
        <v>0</v>
      </c>
      <c r="FJ51" s="321">
        <f ca="1">IF(ES51&lt;&gt;"",SUMPRODUCT((FD51:FD54=FD51)*(EY51:EY54=EY51)*(EW51:EW54=EW51)*(FA51:FA54=FA51)*(FB51:FB54=FB51)*(FC51:FC54&gt;FC51)),"")</f>
        <v>0</v>
      </c>
      <c r="FK51" s="321">
        <f ca="1">IF(ES51&lt;&gt;"",SUM(FE51:FJ51),"")</f>
        <v>2</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2</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1">
        <f t="shared" ref="OU51:OU54" ca="1" si="14969">OS51-OT51+1000</f>
        <v>1000</v>
      </c>
      <c r="OV51" s="321">
        <f t="shared" ref="OV51:OV54" ca="1" si="14970">IF(OO51&lt;&gt;"",OP51*3+OQ51*1,"")</f>
        <v>1</v>
      </c>
      <c r="OW51" s="321">
        <f t="shared" ref="OW51" ca="1" si="14971">IF(OO51&lt;&gt;"",VLOOKUP(OO51,NV4:OB40,7,FALSE),"")</f>
        <v>1003</v>
      </c>
      <c r="OX51" s="321">
        <f t="shared" ref="OX51" ca="1" si="14972">IF(OO51&lt;&gt;"",VLOOKUP(OO51,NV4:OB40,5,FALSE),"")</f>
        <v>5</v>
      </c>
      <c r="OY51" s="321">
        <f t="shared" ref="OY51" ca="1" si="14973">IF(OO51&lt;&gt;"",VLOOKUP(OO51,NV4:OD40,9,FALSE),"")</f>
        <v>36</v>
      </c>
      <c r="OZ51" s="321">
        <f t="shared" ref="OZ51:OZ54" ca="1" si="14974">OV51</f>
        <v>1</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1</v>
      </c>
      <c r="PG51" s="321">
        <f t="shared" ref="PG51" ca="1" si="14981">IF(OO51&lt;&gt;"",SUM(PA51:PF51),"")</f>
        <v>2</v>
      </c>
      <c r="TA51" s="321">
        <f ca="1">SUMPRODUCT((TA11:TA14=TA11)*(SZ11:SZ14=SZ11)*(SX11:SX14&gt;SX11))+1</f>
        <v>1</v>
      </c>
      <c r="TL51" s="321">
        <f t="shared" ref="TL51" ca="1" si="14982">IF(TM11&lt;&gt;"",SUMPRODUCT((TT11:TT14=TT11)*(TS11:TS14=TS11)*(TQ11:TQ14=TQ11)*(TR11:TR14=TR11)),"")</f>
        <v>2</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1">
        <f t="shared" ref="TS51:TS54" ca="1" si="14989">TQ51-TR51+1000</f>
        <v>1000</v>
      </c>
      <c r="TT51" s="321">
        <f t="shared" ref="TT51:TT54" ca="1" si="14990">IF(TM51&lt;&gt;"",TN51*3+TO51*1,"")</f>
        <v>1</v>
      </c>
      <c r="TU51" s="321">
        <f t="shared" ref="TU51" ca="1" si="14991">IF(TM51&lt;&gt;"",VLOOKUP(TM51,ST4:SZ40,7,FALSE),"")</f>
        <v>1005</v>
      </c>
      <c r="TV51" s="321">
        <f t="shared" ref="TV51" ca="1" si="14992">IF(TM51&lt;&gt;"",VLOOKUP(TM51,ST4:SZ40,5,FALSE),"")</f>
        <v>7</v>
      </c>
      <c r="TW51" s="321">
        <f t="shared" ref="TW51" ca="1" si="14993">IF(TM51&lt;&gt;"",VLOOKUP(TM51,ST4:TB40,9,FALSE),"")</f>
        <v>36</v>
      </c>
      <c r="TX51" s="321">
        <f t="shared" ref="TX51:TX54" ca="1" si="14994">TT51</f>
        <v>1</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1</v>
      </c>
      <c r="UC51" s="321">
        <f t="shared" ref="UC51" ca="1" si="14999">IF(TM51&lt;&gt;"",SUMPRODUCT((TX51:TX54=TX51)*(TS51:TS54=TS51)*(TQ51:TQ54=TQ51)*(TU51:TU54=TU51)*(TV51:TV54&gt;TV51)),"")</f>
        <v>0</v>
      </c>
      <c r="UD51" s="321">
        <f t="shared" ref="UD51" ca="1" si="15000">IF(TM51&lt;&gt;"",SUMPRODUCT((TX51:TX54=TX51)*(TS51:TS54=TS51)*(TQ51:TQ54=TQ51)*(TU51:TU54=TU51)*(TV51:TV54=TV51)*(TW51:TW54&gt;TW51)),"")</f>
        <v>0</v>
      </c>
      <c r="UE51" s="321">
        <f t="shared" ref="UE51" ca="1" si="15001">IF(TM51&lt;&gt;"",SUM(TY51:UD51),"")</f>
        <v>2</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2</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1">
        <f t="shared" ref="ADO51:ADO54" ca="1" si="15029">ADM51-ADN51+1000</f>
        <v>1000</v>
      </c>
      <c r="ADP51" s="321">
        <f t="shared" ref="ADP51:ADP54" ca="1" si="15030">IF(ADI51&lt;&gt;"",ADJ51*3+ADK51*1,"")</f>
        <v>1</v>
      </c>
      <c r="ADQ51" s="321">
        <f t="shared" ref="ADQ51" ca="1" si="15031">IF(ADI51&lt;&gt;"",VLOOKUP(ADI51,ACP4:ACV40,7,FALSE),"")</f>
        <v>1004</v>
      </c>
      <c r="ADR51" s="321">
        <f t="shared" ref="ADR51" ca="1" si="15032">IF(ADI51&lt;&gt;"",VLOOKUP(ADI51,ACP4:ACV40,5,FALSE),"")</f>
        <v>6</v>
      </c>
      <c r="ADS51" s="321">
        <f t="shared" ref="ADS51" ca="1" si="15033">IF(ADI51&lt;&gt;"",VLOOKUP(ADI51,ACP4:ACX40,9,FALSE),"")</f>
        <v>36</v>
      </c>
      <c r="ADT51" s="321">
        <f t="shared" ref="ADT51:ADT54" ca="1" si="15034">ADP51</f>
        <v>1</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1</v>
      </c>
      <c r="AEA51" s="321">
        <f t="shared" ref="AEA51" ca="1" si="15041">IF(ADI51&lt;&gt;"",SUM(ADU51:ADZ51),"")</f>
        <v>2</v>
      </c>
      <c r="AHU51" s="321">
        <f ca="1">SUMPRODUCT((AHU11:AHU14=AHU11)*(AHT11:AHT14=AHT11)*(AHR11:AHR14&gt;AHR11))+1</f>
        <v>1</v>
      </c>
      <c r="AIF51" s="321" t="str">
        <f t="shared" ref="AIF51" ca="1" si="15042">IF(AIG11&lt;&gt;"",SUMPRODUCT((AIN11:AIN14=AIN11)*(AIM11:AIM14=AIM11)*(AIK11:AIK14=AIK11)*(AIL11:AIL14=AIL11)),"")</f>
        <v/>
      </c>
      <c r="AIG51" s="321" t="str">
        <f t="shared" ref="AIG51:AIG54" ca="1" si="15043">IF(AND(AIF51&lt;&gt;"",AIF51&gt;1),AIG11,"")</f>
        <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t="str">
        <f t="shared" ref="AIN51:AIN54" ca="1" si="15050">IF(AIG51&lt;&gt;"",AIH51*3+AII51*1,"")</f>
        <v/>
      </c>
      <c r="AIO51" s="321" t="str">
        <f t="shared" ref="AIO51" ca="1" si="15051">IF(AIG51&lt;&gt;"",VLOOKUP(AIG51,AHN4:AHT40,7,FALSE),"")</f>
        <v/>
      </c>
      <c r="AIP51" s="321" t="str">
        <f t="shared" ref="AIP51" ca="1" si="15052">IF(AIG51&lt;&gt;"",VLOOKUP(AIG51,AHN4:AHT40,5,FALSE),"")</f>
        <v/>
      </c>
      <c r="AIQ51" s="321" t="str">
        <f t="shared" ref="AIQ51" ca="1" si="15053">IF(AIG51&lt;&gt;"",VLOOKUP(AIG51,AHN4:AHV40,9,FALSE),"")</f>
        <v/>
      </c>
      <c r="AIR51" s="321" t="str">
        <f t="shared" ref="AIR51:AIR54" ca="1" si="15054">AIN51</f>
        <v/>
      </c>
      <c r="AIS51" s="321" t="str">
        <f t="shared" ref="AIS51" ca="1" si="15055">IF(AIG51&lt;&gt;"",RANK(AIR51,AIR51:AIR54),"")</f>
        <v/>
      </c>
      <c r="AIT51" s="321" t="str">
        <f t="shared" ref="AIT51" ca="1" si="15056">IF(AIG51&lt;&gt;"",SUMPRODUCT((AIR51:AIR54=AIR51)*(AIM51:AIM54&gt;AIM51)),"")</f>
        <v/>
      </c>
      <c r="AIU51" s="321" t="str">
        <f t="shared" ref="AIU51" ca="1" si="15057">IF(AIG51&lt;&gt;"",SUMPRODUCT((AIR51:AIR54=AIR51)*(AIM51:AIM54=AIM51)*(AIK51:AIK54&gt;AIK51)),"")</f>
        <v/>
      </c>
      <c r="AIV51" s="321" t="str">
        <f t="shared" ref="AIV51" ca="1" si="15058">IF(AIG51&lt;&gt;"",SUMPRODUCT((AIR51:AIR54=AIR51)*(AIM51:AIM54=AIM51)*(AIK51:AIK54=AIK51)*(AIO51:AIO54&gt;AIO51)),"")</f>
        <v/>
      </c>
      <c r="AIW51" s="321" t="str">
        <f t="shared" ref="AIW51" ca="1" si="15059">IF(AIG51&lt;&gt;"",SUMPRODUCT((AIR51:AIR54=AIR51)*(AIM51:AIM54=AIM51)*(AIK51:AIK54=AIK51)*(AIO51:AIO54=AIO51)*(AIP51:AIP54&gt;AIP51)),"")</f>
        <v/>
      </c>
      <c r="AIX51" s="321" t="str">
        <f t="shared" ref="AIX51" ca="1" si="15060">IF(AIG51&lt;&gt;"",SUMPRODUCT((AIR51:AIR54=AIR51)*(AIM51:AIM54=AIM51)*(AIK51:AIK54=AIK51)*(AIO51:AIO54=AIO51)*(AIP51:AIP54=AIP51)*(AIQ51:AIQ54&gt;AIQ51)),"")</f>
        <v/>
      </c>
      <c r="AIY51" s="321" t="str">
        <f t="shared" ref="AIY51" ca="1" si="15061">IF(AIG51&lt;&gt;"",SUM(AIS51:AIX51),"")</f>
        <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364</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f ca="1">IF(ES12&lt;&gt;"",SUMPRODUCT((EZ11:EZ14=EZ12)*(EY11:EY14=EY12)*(EW11:EW14=EW12)*(EX11:EX14=EX12)),"")</f>
        <v>2</v>
      </c>
      <c r="ES52" s="321" t="str">
        <f t="shared" ref="ES52:ES54" ca="1" si="15148">IF(AND(ER52&lt;&gt;"",ER52&gt;1),ES12,"")</f>
        <v>Spain</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1">
        <f ca="1">EW52-EX52+1000</f>
        <v>1000</v>
      </c>
      <c r="EZ52" s="321">
        <f t="shared" ca="1" si="14960"/>
        <v>1</v>
      </c>
      <c r="FA52" s="321">
        <f ca="1">IF(ES52&lt;&gt;"",VLOOKUP(ES52,DZ4:EF40,7,FALSE),"")</f>
        <v>1007</v>
      </c>
      <c r="FB52" s="321">
        <f ca="1">IF(ES52&lt;&gt;"",VLOOKUP(ES52,DZ4:EF40,5,FALSE),"")</f>
        <v>9</v>
      </c>
      <c r="FC52" s="321">
        <f ca="1">IF(ES52&lt;&gt;"",VLOOKUP(ES52,DZ4:EH40,9,FALSE),"")</f>
        <v>51</v>
      </c>
      <c r="FD52" s="321">
        <f t="shared" ref="FD52:FD54" ca="1" si="15149">EZ52</f>
        <v>1</v>
      </c>
      <c r="FE52" s="321">
        <f ca="1">IF(ES52&lt;&gt;"",RANK(FD52,FD51:FD54),"")</f>
        <v>1</v>
      </c>
      <c r="FF52" s="321">
        <f ca="1">IF(ES52&lt;&gt;"",SUMPRODUCT((FD51:FD54=FD52)*(EY51:EY54&gt;EY52)),"")</f>
        <v>0</v>
      </c>
      <c r="FG52" s="321">
        <f ca="1">IF(ES52&lt;&gt;"",SUMPRODUCT((FD51:FD54=FD52)*(EY51:EY54=EY52)*(EW51:EW54&gt;EW52)),"")</f>
        <v>0</v>
      </c>
      <c r="FH52" s="321">
        <f ca="1">IF(ES52&lt;&gt;"",SUMPRODUCT((FD51:FD54=FD52)*(EY51:EY54=EY52)*(EW51:EW54=EW52)*(FA51:FA54&gt;FA52)),"")</f>
        <v>0</v>
      </c>
      <c r="FI52" s="321">
        <f ca="1">IF(ES52&lt;&gt;"",SUMPRODUCT((FD51:FD54=FD52)*(EY51:EY54=EY52)*(EW51:EW54=EW52)*(FA51:FA54=FA52)*(FB51:FB54&gt;FB52)),"")</f>
        <v>0</v>
      </c>
      <c r="FJ52" s="321">
        <f ca="1">IF(ES52&lt;&gt;"",SUMPRODUCT((FD51:FD54=FD52)*(EY51:EY54=EY52)*(EW51:EW54=EW52)*(FA51:FA54=FA52)*(FB51:FB54=FB52)*(FC51:FC54&gt;FC52)),"")</f>
        <v>0</v>
      </c>
      <c r="FK52" s="321">
        <f t="shared" ref="FK52:FK54" ca="1" si="15150">IF(ES52&lt;&gt;"",SUM(FE52:FJ52),"")</f>
        <v>1</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2</v>
      </c>
      <c r="OO52" s="321" t="str">
        <f t="shared" ca="1" si="14963"/>
        <v>Spain</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1">
        <f t="shared" ca="1" si="14969"/>
        <v>1000</v>
      </c>
      <c r="OV52" s="321">
        <f t="shared" ca="1" si="14970"/>
        <v>1</v>
      </c>
      <c r="OW52" s="321">
        <f t="shared" ref="OW52" ca="1" si="15166">IF(OO52&lt;&gt;"",VLOOKUP(OO52,NV4:OB40,7,FALSE),"")</f>
        <v>1003</v>
      </c>
      <c r="OX52" s="321">
        <f t="shared" ref="OX52" ca="1" si="15167">IF(OO52&lt;&gt;"",VLOOKUP(OO52,NV4:OB40,5,FALSE),"")</f>
        <v>5</v>
      </c>
      <c r="OY52" s="321">
        <f t="shared" ref="OY52" ca="1" si="15168">IF(OO52&lt;&gt;"",VLOOKUP(OO52,NV4:OD40,9,FALSE),"")</f>
        <v>51</v>
      </c>
      <c r="OZ52" s="321">
        <f t="shared" ca="1" si="14974"/>
        <v>1</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0</v>
      </c>
      <c r="PG52" s="321">
        <f t="shared" ref="PG52:PG54" ca="1" si="15175">IF(OO52&lt;&gt;"",SUM(PA52:PF52),"")</f>
        <v>1</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2</v>
      </c>
      <c r="TM52" s="321" t="str">
        <f t="shared" ca="1" si="14983"/>
        <v>Spain</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1">
        <f t="shared" ca="1" si="14989"/>
        <v>1000</v>
      </c>
      <c r="TT52" s="321">
        <f t="shared" ca="1" si="14990"/>
        <v>1</v>
      </c>
      <c r="TU52" s="321">
        <f t="shared" ref="TU52" ca="1" si="15202">IF(TM52&lt;&gt;"",VLOOKUP(TM52,ST4:SZ40,7,FALSE),"")</f>
        <v>1006</v>
      </c>
      <c r="TV52" s="321">
        <f t="shared" ref="TV52" ca="1" si="15203">IF(TM52&lt;&gt;"",VLOOKUP(TM52,ST4:SZ40,5,FALSE),"")</f>
        <v>8</v>
      </c>
      <c r="TW52" s="321">
        <f t="shared" ref="TW52" ca="1" si="15204">IF(TM52&lt;&gt;"",VLOOKUP(TM52,ST4:TB40,9,FALSE),"")</f>
        <v>51</v>
      </c>
      <c r="TX52" s="321">
        <f t="shared" ca="1" si="14994"/>
        <v>1</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0</v>
      </c>
      <c r="UE52" s="321">
        <f t="shared" ref="UE52:UE54" ca="1" si="15211">IF(TM52&lt;&gt;"",SUM(TY52:UD52),"")</f>
        <v>1</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t="str">
        <f t="shared" ref="ZD52" ca="1" si="15248">IF(ZE12&lt;&gt;"",SUMPRODUCT((ZL11:ZL14=ZL12)*(ZK11:ZK14=ZK12)*(ZI11:ZI14=ZI12)*(ZJ11:ZJ14=ZJ12)),"")</f>
        <v/>
      </c>
      <c r="ZE52" s="321" t="str">
        <f t="shared" ref="ZE52:ZE54" ca="1" si="15249">IF(AND(ZD52&lt;&gt;"",ZD52&gt;1),ZE12,"")</f>
        <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1">
        <f t="shared" ref="ZK52:ZK54" ca="1" si="15255">ZI52-ZJ52+1000</f>
        <v>1000</v>
      </c>
      <c r="ZL52" s="321" t="str">
        <f t="shared" ref="ZL52:ZL54" ca="1" si="15256">IF(ZE52&lt;&gt;"",ZF52*3+ZG52*1,"")</f>
        <v/>
      </c>
      <c r="ZM52" s="321" t="str">
        <f t="shared" ref="ZM52" ca="1" si="15257">IF(ZE52&lt;&gt;"",VLOOKUP(ZE52,XR4:XX40,7,FALSE),"")</f>
        <v/>
      </c>
      <c r="ZN52" s="321" t="str">
        <f t="shared" ref="ZN52" ca="1" si="15258">IF(ZE52&lt;&gt;"",VLOOKUP(ZE52,XR4:XX40,5,FALSE),"")</f>
        <v/>
      </c>
      <c r="ZO52" s="321" t="str">
        <f t="shared" ref="ZO52" ca="1" si="15259">IF(ZE52&lt;&gt;"",VLOOKUP(ZE52,XR4:XZ40,9,FALSE),"")</f>
        <v/>
      </c>
      <c r="ZP52" s="321" t="str">
        <f t="shared" ref="ZP52:ZP54" ca="1" si="15260">ZL52</f>
        <v/>
      </c>
      <c r="ZQ52" s="321" t="str">
        <f t="shared" ref="ZQ52" ca="1" si="15261">IF(ZE52&lt;&gt;"",RANK(ZP52,ZP51:ZP54),"")</f>
        <v/>
      </c>
      <c r="ZR52" s="321" t="str">
        <f t="shared" ref="ZR52" ca="1" si="15262">IF(ZE52&lt;&gt;"",SUMPRODUCT((ZP51:ZP54=ZP52)*(ZK51:ZK54&gt;ZK52)),"")</f>
        <v/>
      </c>
      <c r="ZS52" s="321" t="str">
        <f t="shared" ref="ZS52" ca="1" si="15263">IF(ZE52&lt;&gt;"",SUMPRODUCT((ZP51:ZP54=ZP52)*(ZK51:ZK54=ZK52)*(ZI51:ZI54&gt;ZI52)),"")</f>
        <v/>
      </c>
      <c r="ZT52" s="321" t="str">
        <f t="shared" ref="ZT52" ca="1" si="15264">IF(ZE52&lt;&gt;"",SUMPRODUCT((ZP51:ZP54=ZP52)*(ZK51:ZK54=ZK52)*(ZI51:ZI54=ZI52)*(ZM51:ZM54&gt;ZM52)),"")</f>
        <v/>
      </c>
      <c r="ZU52" s="321" t="str">
        <f t="shared" ref="ZU52" ca="1" si="15265">IF(ZE52&lt;&gt;"",SUMPRODUCT((ZP51:ZP54=ZP52)*(ZK51:ZK54=ZK52)*(ZI51:ZI54=ZI52)*(ZM51:ZM54=ZM52)*(ZN51:ZN54&gt;ZN52)),"")</f>
        <v/>
      </c>
      <c r="ZV52" s="321" t="str">
        <f t="shared" ref="ZV52" ca="1" si="15266">IF(ZE52&lt;&gt;"",SUMPRODUCT((ZP51:ZP54=ZP52)*(ZK51:ZK54=ZK52)*(ZI51:ZI54=ZI52)*(ZM51:ZM54=ZM52)*(ZN51:ZN54=ZN52)*(ZO51:ZO54&gt;ZO52)),"")</f>
        <v/>
      </c>
      <c r="ZW52" s="321" t="str">
        <f t="shared" ref="ZW52" ca="1" si="15267">IF(ZE52&lt;&gt;"",SUM(ZQ52:ZV52)+1,"")</f>
        <v/>
      </c>
      <c r="ACW52" s="321">
        <f ca="1">SUMPRODUCT((ACW11:ACW14=ACW12)*(ACV11:ACV14=ACV12)*(ACT11:ACT14&gt;ACT12))+1</f>
        <v>1</v>
      </c>
      <c r="ADH52" s="321">
        <f t="shared" ref="ADH52" ca="1" si="15268">IF(ADI12&lt;&gt;"",SUMPRODUCT((ADP11:ADP14=ADP12)*(ADO11:ADO14=ADO12)*(ADM11:ADM14=ADM12)*(ADN11:ADN14=ADN12)),"")</f>
        <v>2</v>
      </c>
      <c r="ADI52" s="321" t="str">
        <f t="shared" ca="1" si="15023"/>
        <v>Spain</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1">
        <f t="shared" ca="1" si="15029"/>
        <v>1000</v>
      </c>
      <c r="ADP52" s="321">
        <f t="shared" ca="1" si="15030"/>
        <v>1</v>
      </c>
      <c r="ADQ52" s="321">
        <f t="shared" ref="ADQ52" ca="1" si="15274">IF(ADI52&lt;&gt;"",VLOOKUP(ADI52,ACP4:ACV40,7,FALSE),"")</f>
        <v>1004</v>
      </c>
      <c r="ADR52" s="321">
        <f t="shared" ref="ADR52" ca="1" si="15275">IF(ADI52&lt;&gt;"",VLOOKUP(ADI52,ACP4:ACV40,5,FALSE),"")</f>
        <v>6</v>
      </c>
      <c r="ADS52" s="321">
        <f t="shared" ref="ADS52" ca="1" si="15276">IF(ADI52&lt;&gt;"",VLOOKUP(ADI52,ACP4:ACX40,9,FALSE),"")</f>
        <v>51</v>
      </c>
      <c r="ADT52" s="321">
        <f t="shared" ca="1" si="15034"/>
        <v>1</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0</v>
      </c>
      <c r="AEA52" s="321">
        <f t="shared" ref="AEA52:AEA54" ca="1" si="15283">IF(ADI52&lt;&gt;"",SUM(ADU52:ADZ52),"")</f>
        <v>1</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t="str">
        <f t="shared" ref="AIF52" ca="1" si="15304">IF(AIG12&lt;&gt;"",SUMPRODUCT((AIN11:AIN14=AIN12)*(AIM11:AIM14=AIM12)*(AIK11:AIK14=AIK12)*(AIL11:AIL14=AIL12)),"")</f>
        <v/>
      </c>
      <c r="AIG52" s="321" t="str">
        <f t="shared" ca="1" si="15043"/>
        <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t="str">
        <f t="shared" ca="1" si="15050"/>
        <v/>
      </c>
      <c r="AIO52" s="321" t="str">
        <f t="shared" ref="AIO52" ca="1" si="15310">IF(AIG52&lt;&gt;"",VLOOKUP(AIG52,AHN4:AHT40,7,FALSE),"")</f>
        <v/>
      </c>
      <c r="AIP52" s="321" t="str">
        <f t="shared" ref="AIP52" ca="1" si="15311">IF(AIG52&lt;&gt;"",VLOOKUP(AIG52,AHN4:AHT40,5,FALSE),"")</f>
        <v/>
      </c>
      <c r="AIQ52" s="321" t="str">
        <f t="shared" ref="AIQ52" ca="1" si="15312">IF(AIG52&lt;&gt;"",VLOOKUP(AIG52,AHN4:AHV40,9,FALSE),"")</f>
        <v/>
      </c>
      <c r="AIR52" s="321" t="str">
        <f t="shared" ca="1" si="15054"/>
        <v/>
      </c>
      <c r="AIS52" s="321" t="str">
        <f t="shared" ref="AIS52" ca="1" si="15313">IF(AIG52&lt;&gt;"",RANK(AIR52,AIR51:AIR54),"")</f>
        <v/>
      </c>
      <c r="AIT52" s="321" t="str">
        <f t="shared" ref="AIT52" ca="1" si="15314">IF(AIG52&lt;&gt;"",SUMPRODUCT((AIR51:AIR54=AIR52)*(AIM51:AIM54&gt;AIM52)),"")</f>
        <v/>
      </c>
      <c r="AIU52" s="321" t="str">
        <f t="shared" ref="AIU52" ca="1" si="15315">IF(AIG52&lt;&gt;"",SUMPRODUCT((AIR51:AIR54=AIR52)*(AIM51:AIM54=AIM52)*(AIK51:AIK54&gt;AIK52)),"")</f>
        <v/>
      </c>
      <c r="AIV52" s="321" t="str">
        <f t="shared" ref="AIV52" ca="1" si="15316">IF(AIG52&lt;&gt;"",SUMPRODUCT((AIR51:AIR54=AIR52)*(AIM51:AIM54=AIM52)*(AIK51:AIK54=AIK52)*(AIO51:AIO54&gt;AIO52)),"")</f>
        <v/>
      </c>
      <c r="AIW52" s="321" t="str">
        <f t="shared" ref="AIW52" ca="1" si="15317">IF(AIG52&lt;&gt;"",SUMPRODUCT((AIR51:AIR54=AIR52)*(AIM51:AIM54=AIM52)*(AIK51:AIK54=AIK52)*(AIO51:AIO54=AIO52)*(AIP51:AIP54&gt;AIP52)),"")</f>
        <v/>
      </c>
      <c r="AIX52" s="321" t="str">
        <f t="shared" ref="AIX52" ca="1" si="15318">IF(AIG52&lt;&gt;"",SUMPRODUCT((AIR51:AIR54=AIR52)*(AIM51:AIM54=AIM52)*(AIK51:AIK54=AIK52)*(AIO51:AIO54=AIO52)*(AIP51:AIP54=AIP52)*(AIQ51:AIQ54&gt;AIQ52)),"")</f>
        <v/>
      </c>
      <c r="AIY52" s="321" t="str">
        <f t="shared" ref="AIY52:AIY54" ca="1" si="15319">IF(AIG52&lt;&gt;"",SUM(AIS52:AIX52),"")</f>
        <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365</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t="str">
        <f t="shared" ref="ZD53" ca="1" si="15564">IF(ZE13&lt;&gt;"",SUMPRODUCT((ZL11:ZL14=ZL13)*(ZK11:ZK14=ZK13)*(ZI11:ZI14=ZI13)*(ZJ11:ZJ14=ZJ13)),"")</f>
        <v/>
      </c>
      <c r="ZE53" s="321" t="str">
        <f t="shared" ca="1" si="15249"/>
        <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1">
        <f t="shared" ca="1" si="15255"/>
        <v>1000</v>
      </c>
      <c r="ZL53" s="321" t="str">
        <f t="shared" ca="1" si="15256"/>
        <v/>
      </c>
      <c r="ZM53" s="321" t="str">
        <f t="shared" ref="ZM53" ca="1" si="15570">IF(ZE53&lt;&gt;"",VLOOKUP(ZE53,XR4:XX40,7,FALSE),"")</f>
        <v/>
      </c>
      <c r="ZN53" s="321" t="str">
        <f t="shared" ref="ZN53" ca="1" si="15571">IF(ZE53&lt;&gt;"",VLOOKUP(ZE53,XR4:XX40,5,FALSE),"")</f>
        <v/>
      </c>
      <c r="ZO53" s="321" t="str">
        <f t="shared" ref="ZO53" ca="1" si="15572">IF(ZE53&lt;&gt;"",VLOOKUP(ZE53,XR4:XZ40,9,FALSE),"")</f>
        <v/>
      </c>
      <c r="ZP53" s="321" t="str">
        <f t="shared" ca="1" si="15260"/>
        <v/>
      </c>
      <c r="ZQ53" s="321" t="str">
        <f t="shared" ref="ZQ53" ca="1" si="15573">IF(ZE53&lt;&gt;"",RANK(ZP53,ZP51:ZP54),"")</f>
        <v/>
      </c>
      <c r="ZR53" s="321" t="str">
        <f t="shared" ref="ZR53" ca="1" si="15574">IF(ZE53&lt;&gt;"",SUMPRODUCT((ZP51:ZP54=ZP53)*(ZK51:ZK54&gt;ZK53)),"")</f>
        <v/>
      </c>
      <c r="ZS53" s="321" t="str">
        <f t="shared" ref="ZS53" ca="1" si="15575">IF(ZE53&lt;&gt;"",SUMPRODUCT((ZP51:ZP54=ZP53)*(ZK51:ZK54=ZK53)*(ZI51:ZI54&gt;ZI53)),"")</f>
        <v/>
      </c>
      <c r="ZT53" s="321" t="str">
        <f t="shared" ref="ZT53" ca="1" si="15576">IF(ZE53&lt;&gt;"",SUMPRODUCT((ZP51:ZP54=ZP53)*(ZK51:ZK54=ZK53)*(ZI51:ZI54=ZI53)*(ZM51:ZM54&gt;ZM53)),"")</f>
        <v/>
      </c>
      <c r="ZU53" s="321" t="str">
        <f t="shared" ref="ZU53" ca="1" si="15577">IF(ZE53&lt;&gt;"",SUMPRODUCT((ZP51:ZP54=ZP53)*(ZK51:ZK54=ZK53)*(ZI51:ZI54=ZI53)*(ZM51:ZM54=ZM53)*(ZN51:ZN54&gt;ZN53)),"")</f>
        <v/>
      </c>
      <c r="ZV53" s="321" t="str">
        <f t="shared" ref="ZV53" ca="1" si="15578">IF(ZE53&lt;&gt;"",SUMPRODUCT((ZP51:ZP54=ZP53)*(ZK51:ZK54=ZK53)*(ZI51:ZI54=ZI53)*(ZM51:ZM54=ZM53)*(ZN51:ZN54=ZN53)*(ZO51:ZO54&gt;ZO53)),"")</f>
        <v/>
      </c>
      <c r="ZW53" s="321" t="str">
        <f t="shared" ref="ZW53:ZW54" ca="1" si="15579">IF(ZE53&lt;&gt;"",SUM(ZQ53:ZV53)+1,"")</f>
        <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366</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367</v>
      </c>
    </row>
    <row r="56" spans="2:955 1033:1467" x14ac:dyDescent="0.2">
      <c r="C56" s="321" t="s">
        <v>368</v>
      </c>
    </row>
    <row r="57" spans="2:955 1033:1467" x14ac:dyDescent="0.2">
      <c r="C57" s="321" t="s">
        <v>369</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370</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2</v>
      </c>
      <c r="TL58" s="321" t="str">
        <f t="shared" ref="TL58" ca="1" si="16074">IF(TM18&lt;&gt;"",SUMPRODUCT((TT18:TT21=TT18)*(TS18:TS21=TS18)*(TQ18:TQ21=TQ18)*(TR18:TR21=TR18)),"")</f>
        <v/>
      </c>
      <c r="TM58" s="321" t="str">
        <f t="shared" ref="TM58:TM61" ca="1" si="16075">IF(AND(TL58&lt;&gt;"",TL58&gt;1),TM18,"")</f>
        <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t="str">
        <f t="shared" ref="TT58:TT61" ca="1" si="16082">IF(TM58&lt;&gt;"",TN58*3+TO58*1,"")</f>
        <v/>
      </c>
      <c r="TU58" s="321" t="str">
        <f t="shared" ref="TU58" ca="1" si="16083">IF(TM58&lt;&gt;"",VLOOKUP(TM58,ST4:SZ40,7,FALSE),"")</f>
        <v/>
      </c>
      <c r="TV58" s="321" t="str">
        <f t="shared" ref="TV58" ca="1" si="16084">IF(TM58&lt;&gt;"",VLOOKUP(TM58,ST4:SZ40,5,FALSE),"")</f>
        <v/>
      </c>
      <c r="TW58" s="321" t="str">
        <f t="shared" ref="TW58" ca="1" si="16085">IF(TM58&lt;&gt;"",VLOOKUP(TM58,ST4:TB40,9,FALSE),"")</f>
        <v/>
      </c>
      <c r="TX58" s="321" t="str">
        <f t="shared" ref="TX58:TX61" ca="1" si="16086">TT58</f>
        <v/>
      </c>
      <c r="TY58" s="321" t="str">
        <f t="shared" ref="TY58" ca="1" si="16087">IF(TM58&lt;&gt;"",RANK(TX58,TX58:TX61),"")</f>
        <v/>
      </c>
      <c r="TZ58" s="321" t="str">
        <f t="shared" ref="TZ58" ca="1" si="16088">IF(TM58&lt;&gt;"",SUMPRODUCT((TX58:TX61=TX58)*(TS58:TS61&gt;TS58)),"")</f>
        <v/>
      </c>
      <c r="UA58" s="321" t="str">
        <f t="shared" ref="UA58" ca="1" si="16089">IF(TM58&lt;&gt;"",SUMPRODUCT((TX58:TX61=TX58)*(TS58:TS61=TS58)*(TQ58:TQ61&gt;TQ58)),"")</f>
        <v/>
      </c>
      <c r="UB58" s="321" t="str">
        <f t="shared" ref="UB58" ca="1" si="16090">IF(TM58&lt;&gt;"",SUMPRODUCT((TX58:TX61=TX58)*(TS58:TS61=TS58)*(TQ58:TQ61=TQ58)*(TU58:TU61&gt;TU58)),"")</f>
        <v/>
      </c>
      <c r="UC58" s="321" t="str">
        <f t="shared" ref="UC58" ca="1" si="16091">IF(TM58&lt;&gt;"",SUMPRODUCT((TX58:TX61=TX58)*(TS58:TS61=TS58)*(TQ58:TQ61=TQ58)*(TU58:TU61=TU58)*(TV58:TV61&gt;TV58)),"")</f>
        <v/>
      </c>
      <c r="UD58" s="321" t="str">
        <f t="shared" ref="UD58" ca="1" si="16092">IF(TM58&lt;&gt;"",SUMPRODUCT((TX58:TX61=TX58)*(TS58:TS61=TS58)*(TQ58:TQ61=TQ58)*(TU58:TU61=TU58)*(TV58:TV61=TV58)*(TW58:TW61&gt;TW58)),"")</f>
        <v/>
      </c>
      <c r="UE58" s="321" t="str">
        <f t="shared" ref="UE58:UE61" ca="1" si="16093">IF(TM58&lt;&gt;"",SUM(TY58:UD58),"")</f>
        <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371</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f ca="1">IF(KK19&lt;&gt;"",SUMPRODUCT((KR18:KR21=KR19)*(KQ18:KQ21=KQ19)*(KO18:KO21=KO19)*(KP18:KP21=KP19)),"")</f>
        <v>3</v>
      </c>
      <c r="KK59" s="321" t="str">
        <f t="shared" ref="KK59:KK61" ca="1" si="16249">IF(AND(KJ59&lt;&gt;"",KJ59&gt;1),KK19,"")</f>
        <v>Serbia</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2</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1">
        <f ca="1">KO59-KP59+1000</f>
        <v>1000</v>
      </c>
      <c r="KR59" s="321">
        <f t="shared" ref="KR59:KR61" ca="1" si="16250">IF(KK59&lt;&gt;"",KL59*3+KM59*1,"")</f>
        <v>2</v>
      </c>
      <c r="KS59" s="321">
        <f ca="1">IF(KK59&lt;&gt;"",VLOOKUP(KK59,IX4:JD40,7,FALSE),"")</f>
        <v>999</v>
      </c>
      <c r="KT59" s="321">
        <f ca="1">IF(KK59&lt;&gt;"",VLOOKUP(KK59,IX4:JD40,5,FALSE),"")</f>
        <v>2</v>
      </c>
      <c r="KU59" s="321">
        <f ca="1">IF(KK59&lt;&gt;"",VLOOKUP(KK59,IX4:JF40,9,FALSE),"")</f>
        <v>35</v>
      </c>
      <c r="KV59" s="321">
        <f t="shared" ref="KV59:KV61" ca="1" si="16251">KR59</f>
        <v>2</v>
      </c>
      <c r="KW59" s="321">
        <f ca="1">IF(KK59&lt;&gt;"",RANK(KV59,KV58:KV61),"")</f>
        <v>1</v>
      </c>
      <c r="KX59" s="321">
        <f ca="1">IF(KK59&lt;&gt;"",SUMPRODUCT((KV58:KV61=KV59)*(KQ58:KQ61&gt;KQ59)),"")</f>
        <v>0</v>
      </c>
      <c r="KY59" s="321">
        <f ca="1">IF(KK59&lt;&gt;"",SUMPRODUCT((KV58:KV61=KV59)*(KQ58:KQ61=KQ59)*(KO58:KO61&gt;KO59)),"")</f>
        <v>0</v>
      </c>
      <c r="KZ59" s="321">
        <f ca="1">IF(KK59&lt;&gt;"",SUMPRODUCT((KV58:KV61=KV59)*(KQ58:KQ61=KQ59)*(KO58:KO61=KO59)*(KS58:KS61&gt;KS59)),"")</f>
        <v>0</v>
      </c>
      <c r="LA59" s="321">
        <f ca="1">IF(KK59&lt;&gt;"",SUMPRODUCT((KV58:KV61=KV59)*(KQ58:KQ61=KQ59)*(KO58:KO61=KO59)*(KS58:KS61=KS59)*(KT58:KT61&gt;KT59)),"")</f>
        <v>1</v>
      </c>
      <c r="LB59" s="321">
        <f ca="1">IF(KK59&lt;&gt;"",SUMPRODUCT((KV58:KV61=KV59)*(KQ58:KQ61=KQ59)*(KO58:KO61=KO59)*(KS58:KS61=KS59)*(KT58:KT61=KT59)*(KU58:KU61&gt;KU59)),"")</f>
        <v>1</v>
      </c>
      <c r="LC59" s="321">
        <f ca="1">IF(KK59&lt;&gt;"",SUM(KW59:LB59)+1,"")</f>
        <v>4</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f t="shared" ref="PH59" ca="1" si="16267">IF(PI19&lt;&gt;"",SUMPRODUCT((PP18:PP21=PP19)*(PO18:PO21=PO19)*(PM18:PM21=PM19)*(PN18:PN21=PN19)),"")</f>
        <v>2</v>
      </c>
      <c r="PI59" s="321" t="str">
        <f t="shared" ref="PI59:PI61" ca="1" si="16268">IF(AND(PH59&lt;&gt;"",PH59&gt;1),PI19,"")</f>
        <v>Serbia</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f t="shared" ref="PP59:PP61" ca="1" si="16275">IF(PI59&lt;&gt;"",PJ59*3+PK59*1,"")</f>
        <v>1</v>
      </c>
      <c r="PQ59" s="321">
        <f t="shared" ref="PQ59" ca="1" si="16276">IF(PI59&lt;&gt;"",VLOOKUP(PI59,NV4:OB40,7,FALSE),"")</f>
        <v>1001</v>
      </c>
      <c r="PR59" s="321">
        <f t="shared" ref="PR59" ca="1" si="16277">IF(PI59&lt;&gt;"",VLOOKUP(PI59,NV4:OB40,5,FALSE),"")</f>
        <v>3</v>
      </c>
      <c r="PS59" s="321">
        <f t="shared" ref="PS59" ca="1" si="16278">IF(PI59&lt;&gt;"",VLOOKUP(PI59,NV4:OD40,9,FALSE),"")</f>
        <v>35</v>
      </c>
      <c r="PT59" s="321">
        <f t="shared" ref="PT59:PT61" ca="1" si="16279">PP59</f>
        <v>1</v>
      </c>
      <c r="PU59" s="321">
        <f t="shared" ref="PU59" ca="1" si="16280">IF(PI59&lt;&gt;"",RANK(PT59,PT58:PT61),"")</f>
        <v>1</v>
      </c>
      <c r="PV59" s="321">
        <f t="shared" ref="PV59" ca="1" si="16281">IF(PI59&lt;&gt;"",SUMPRODUCT((PT58:PT61=PT59)*(PO58:PO61&gt;PO59)),"")</f>
        <v>0</v>
      </c>
      <c r="PW59" s="321">
        <f t="shared" ref="PW59" ca="1" si="16282">IF(PI59&lt;&gt;"",SUMPRODUCT((PT58:PT61=PT59)*(PO58:PO61=PO59)*(PM58:PM61&gt;PM59)),"")</f>
        <v>0</v>
      </c>
      <c r="PX59" s="321">
        <f t="shared" ref="PX59" ca="1" si="16283">IF(PI59&lt;&gt;"",SUMPRODUCT((PT58:PT61=PT59)*(PO58:PO61=PO59)*(PM58:PM61=PM59)*(PQ58:PQ61&gt;PQ59)),"")</f>
        <v>0</v>
      </c>
      <c r="PY59" s="321">
        <f t="shared" ref="PY59" ca="1" si="16284">IF(PI59&lt;&gt;"",SUMPRODUCT((PT58:PT61=PT59)*(PO58:PO61=PO59)*(PM58:PM61=PM59)*(PQ58:PQ61=PQ59)*(PR58:PR61&gt;PR59)),"")</f>
        <v>0</v>
      </c>
      <c r="PZ59" s="321">
        <f t="shared" ref="PZ59" ca="1" si="16285">IF(PI59&lt;&gt;"",SUMPRODUCT((PT58:PT61=PT59)*(PO58:PO61=PO59)*(PM58:PM61=PM59)*(PQ58:PQ61=PQ59)*(PR58:PR61=PR59)*(PS58:PS61&gt;PS59)),"")</f>
        <v>0</v>
      </c>
      <c r="QA59" s="321">
        <f t="shared" ref="QA59" ca="1" si="16286">IF(PI59&lt;&gt;"",SUM(PU59:PZ59)+1,"")</f>
        <v>2</v>
      </c>
      <c r="TA59" s="321">
        <f ca="1">SUMPRODUCT((TA18:TA21=TA19)*(SZ18:SZ21=SZ19)*(SX18:SX21&gt;SX19))+1</f>
        <v>1</v>
      </c>
      <c r="TL59" s="321" t="str">
        <f t="shared" ref="TL59" ca="1" si="16287">IF(TM19&lt;&gt;"",SUMPRODUCT((TT18:TT21=TT19)*(TS18:TS21=TS19)*(TQ18:TQ21=TQ19)*(TR18:TR21=TR19)),"")</f>
        <v/>
      </c>
      <c r="TM59" s="321" t="str">
        <f t="shared" ca="1" si="16075"/>
        <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t="str">
        <f t="shared" ca="1" si="16082"/>
        <v/>
      </c>
      <c r="TU59" s="321" t="str">
        <f t="shared" ref="TU59" ca="1" si="16293">IF(TM59&lt;&gt;"",VLOOKUP(TM59,ST4:SZ40,7,FALSE),"")</f>
        <v/>
      </c>
      <c r="TV59" s="321" t="str">
        <f t="shared" ref="TV59" ca="1" si="16294">IF(TM59&lt;&gt;"",VLOOKUP(TM59,ST4:SZ40,5,FALSE),"")</f>
        <v/>
      </c>
      <c r="TW59" s="321" t="str">
        <f t="shared" ref="TW59" ca="1" si="16295">IF(TM59&lt;&gt;"",VLOOKUP(TM59,ST4:TB40,9,FALSE),"")</f>
        <v/>
      </c>
      <c r="TX59" s="321" t="str">
        <f t="shared" ca="1" si="16086"/>
        <v/>
      </c>
      <c r="TY59" s="321" t="str">
        <f t="shared" ref="TY59" ca="1" si="16296">IF(TM59&lt;&gt;"",RANK(TX59,TX58:TX61),"")</f>
        <v/>
      </c>
      <c r="TZ59" s="321" t="str">
        <f t="shared" ref="TZ59" ca="1" si="16297">IF(TM59&lt;&gt;"",SUMPRODUCT((TX58:TX61=TX59)*(TS58:TS61&gt;TS59)),"")</f>
        <v/>
      </c>
      <c r="UA59" s="321" t="str">
        <f t="shared" ref="UA59" ca="1" si="16298">IF(TM59&lt;&gt;"",SUMPRODUCT((TX58:TX61=TX59)*(TS58:TS61=TS59)*(TQ58:TQ61&gt;TQ59)),"")</f>
        <v/>
      </c>
      <c r="UB59" s="321" t="str">
        <f t="shared" ref="UB59" ca="1" si="16299">IF(TM59&lt;&gt;"",SUMPRODUCT((TX58:TX61=TX59)*(TS58:TS61=TS59)*(TQ58:TQ61=TQ59)*(TU58:TU61&gt;TU59)),"")</f>
        <v/>
      </c>
      <c r="UC59" s="321" t="str">
        <f t="shared" ref="UC59" ca="1" si="16300">IF(TM59&lt;&gt;"",SUMPRODUCT((TX58:TX61=TX59)*(TS58:TS61=TS59)*(TQ58:TQ61=TQ59)*(TU58:TU61=TU59)*(TV58:TV61&gt;TV59)),"")</f>
        <v/>
      </c>
      <c r="UD59" s="321" t="str">
        <f t="shared" ref="UD59" ca="1" si="16301">IF(TM59&lt;&gt;"",SUMPRODUCT((TX58:TX61=TX59)*(TS58:TS61=TS59)*(TQ58:TQ61=TQ59)*(TU58:TU61=TU59)*(TV58:TV61=TV59)*(TW58:TW61&gt;TW59)),"")</f>
        <v/>
      </c>
      <c r="UE59" s="321" t="str">
        <f t="shared" ca="1" si="16093"/>
        <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f t="shared" ref="AIZ59" ca="1" si="16407">IF(AJA19&lt;&gt;"",SUMPRODUCT((AJH18:AJH21=AJH19)*(AJG18:AJG21=AJG19)*(AJE18:AJE21=AJE19)*(AJF18:AJF21=AJF19)),"")</f>
        <v>2</v>
      </c>
      <c r="AJA59" s="321" t="str">
        <f t="shared" ref="AJA59:AJA61" ca="1" si="16408">IF(AND(AIZ59&lt;&gt;"",AIZ59&gt;1),AJA19,"")</f>
        <v>Serbia</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1">
        <f t="shared" ref="AJG59:AJG61" ca="1" si="16414">AJE59-AJF59+1000</f>
        <v>1000</v>
      </c>
      <c r="AJH59" s="321">
        <f t="shared" ref="AJH59:AJH61" ca="1" si="16415">IF(AJA59&lt;&gt;"",AJB59*3+AJC59*1,"")</f>
        <v>1</v>
      </c>
      <c r="AJI59" s="321">
        <f t="shared" ref="AJI59" ca="1" si="16416">IF(AJA59&lt;&gt;"",VLOOKUP(AJA59,AHN4:AHT40,7,FALSE),"")</f>
        <v>1000</v>
      </c>
      <c r="AJJ59" s="321">
        <f t="shared" ref="AJJ59" ca="1" si="16417">IF(AJA59&lt;&gt;"",VLOOKUP(AJA59,AHN4:AHT40,5,FALSE),"")</f>
        <v>4</v>
      </c>
      <c r="AJK59" s="321">
        <f t="shared" ref="AJK59" ca="1" si="16418">IF(AJA59&lt;&gt;"",VLOOKUP(AJA59,AHN4:AHV40,9,FALSE),"")</f>
        <v>35</v>
      </c>
      <c r="AJL59" s="321">
        <f t="shared" ref="AJL59:AJL61" ca="1" si="16419">AJH59</f>
        <v>1</v>
      </c>
      <c r="AJM59" s="321">
        <f t="shared" ref="AJM59" ca="1" si="16420">IF(AJA59&lt;&gt;"",RANK(AJL59,AJL58:AJL61),"")</f>
        <v>1</v>
      </c>
      <c r="AJN59" s="321">
        <f t="shared" ref="AJN59" ca="1" si="16421">IF(AJA59&lt;&gt;"",SUMPRODUCT((AJL58:AJL61=AJL59)*(AJG58:AJG61&gt;AJG59)),"")</f>
        <v>0</v>
      </c>
      <c r="AJO59" s="321">
        <f t="shared" ref="AJO59" ca="1" si="16422">IF(AJA59&lt;&gt;"",SUMPRODUCT((AJL58:AJL61=AJL59)*(AJG58:AJG61=AJG59)*(AJE58:AJE61&gt;AJE59)),"")</f>
        <v>0</v>
      </c>
      <c r="AJP59" s="321">
        <f t="shared" ref="AJP59" ca="1" si="16423">IF(AJA59&lt;&gt;"",SUMPRODUCT((AJL58:AJL61=AJL59)*(AJG58:AJG61=AJG59)*(AJE58:AJE61=AJE59)*(AJI58:AJI61&gt;AJI59)),"")</f>
        <v>1</v>
      </c>
      <c r="AJQ59" s="321">
        <f t="shared" ref="AJQ59" ca="1" si="16424">IF(AJA59&lt;&gt;"",SUMPRODUCT((AJL58:AJL61=AJL59)*(AJG58:AJG61=AJG59)*(AJE58:AJE61=AJE59)*(AJI58:AJI61=AJI59)*(AJJ58:AJJ61&gt;AJJ59)),"")</f>
        <v>0</v>
      </c>
      <c r="AJR59" s="321">
        <f t="shared" ref="AJR59" ca="1" si="16425">IF(AJA59&lt;&gt;"",SUMPRODUCT((AJL58:AJL61=AJL59)*(AJG58:AJG61=AJG59)*(AJE58:AJE61=AJE59)*(AJI58:AJI61=AJI59)*(AJJ58:AJJ61=AJJ59)*(AJK58:AJK61&gt;AJK59)),"")</f>
        <v>0</v>
      </c>
      <c r="AJS59" s="321">
        <f t="shared" ref="AJS59" ca="1" si="16426">IF(AJA59&lt;&gt;"",SUM(AJM59:AJR59)+1,"")</f>
        <v>3</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2</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f ca="1">IF(KK20&lt;&gt;"",SUMPRODUCT((KR18:KR21=KR20)*(KQ18:KQ21=KQ20)*(KO18:KO21=KO20)*(KP18:KP21=KP20)),"")</f>
        <v>3</v>
      </c>
      <c r="KK60" s="321" t="str">
        <f t="shared" ca="1" si="16249"/>
        <v>Slovenia</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2</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1">
        <f ca="1">KO60-KP60+1000</f>
        <v>1000</v>
      </c>
      <c r="KR60" s="321">
        <f t="shared" ca="1" si="16250"/>
        <v>2</v>
      </c>
      <c r="KS60" s="321">
        <f ca="1">IF(KK60&lt;&gt;"",VLOOKUP(KK60,IX4:JD40,7,FALSE),"")</f>
        <v>999</v>
      </c>
      <c r="KT60" s="321">
        <f ca="1">IF(KK60&lt;&gt;"",VLOOKUP(KK60,IX4:JD40,5,FALSE),"")</f>
        <v>2</v>
      </c>
      <c r="KU60" s="321">
        <f ca="1">IF(KK60&lt;&gt;"",VLOOKUP(KK60,IX4:JF40,9,FALSE),"")</f>
        <v>39</v>
      </c>
      <c r="KV60" s="321">
        <f t="shared" ca="1" si="16251"/>
        <v>2</v>
      </c>
      <c r="KW60" s="321">
        <f ca="1">IF(KK60&lt;&gt;"",RANK(KV60,KV58:KV61),"")</f>
        <v>1</v>
      </c>
      <c r="KX60" s="321">
        <f ca="1">IF(KK60&lt;&gt;"",SUMPRODUCT((KV58:KV61=KV60)*(KQ58:KQ61&gt;KQ60)),"")</f>
        <v>0</v>
      </c>
      <c r="KY60" s="321">
        <f ca="1">IF(KK60&lt;&gt;"",SUMPRODUCT((KV58:KV61=KV60)*(KQ58:KQ61=KQ60)*(KO58:KO61&gt;KO60)),"")</f>
        <v>0</v>
      </c>
      <c r="KZ60" s="321">
        <f ca="1">IF(KK60&lt;&gt;"",SUMPRODUCT((KV58:KV61=KV60)*(KQ58:KQ61=KQ60)*(KO58:KO61=KO60)*(KS58:KS61&gt;KS60)),"")</f>
        <v>0</v>
      </c>
      <c r="LA60" s="321">
        <f ca="1">IF(KK60&lt;&gt;"",SUMPRODUCT((KV58:KV61=KV60)*(KQ58:KQ61=KQ60)*(KO58:KO61=KO60)*(KS58:KS61=KS60)*(KT58:KT61&gt;KT60)),"")</f>
        <v>1</v>
      </c>
      <c r="LB60" s="321">
        <f ca="1">IF(KK60&lt;&gt;"",SUMPRODUCT((KV58:KV61=KV60)*(KQ58:KQ61=KQ60)*(KO58:KO61=KO60)*(KS58:KS61=KS60)*(KT58:KT61=KT60)*(KU58:KU61&gt;KU60)),"")</f>
        <v>0</v>
      </c>
      <c r="LC60" s="321">
        <f t="shared" ref="LC60:LC61" ca="1" si="16569">IF(KK60&lt;&gt;"",SUM(KW60:LB60)+1,"")</f>
        <v>3</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f t="shared" ref="PH60" ca="1" si="16585">IF(PI20&lt;&gt;"",SUMPRODUCT((PP18:PP21=PP20)*(PO18:PO21=PO20)*(PM18:PM21=PM20)*(PN18:PN21=PN20)),"")</f>
        <v>2</v>
      </c>
      <c r="PI60" s="321" t="str">
        <f t="shared" ca="1" si="16268"/>
        <v>Denmark</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f t="shared" ca="1" si="16275"/>
        <v>1</v>
      </c>
      <c r="PQ60" s="321">
        <f t="shared" ref="PQ60" ca="1" si="16591">IF(PI60&lt;&gt;"",VLOOKUP(PI60,NV4:OB40,7,FALSE),"")</f>
        <v>1000</v>
      </c>
      <c r="PR60" s="321">
        <f t="shared" ref="PR60" ca="1" si="16592">IF(PI60&lt;&gt;"",VLOOKUP(PI60,NV4:OB40,5,FALSE),"")</f>
        <v>3</v>
      </c>
      <c r="PS60" s="321">
        <f t="shared" ref="PS60" ca="1" si="16593">IF(PI60&lt;&gt;"",VLOOKUP(PI60,NV4:OD40,9,FALSE),"")</f>
        <v>45</v>
      </c>
      <c r="PT60" s="321">
        <f t="shared" ca="1" si="16279"/>
        <v>1</v>
      </c>
      <c r="PU60" s="321">
        <f t="shared" ref="PU60" ca="1" si="16594">IF(PI60&lt;&gt;"",RANK(PT60,PT58:PT61),"")</f>
        <v>1</v>
      </c>
      <c r="PV60" s="321">
        <f t="shared" ref="PV60" ca="1" si="16595">IF(PI60&lt;&gt;"",SUMPRODUCT((PT58:PT61=PT60)*(PO58:PO61&gt;PO60)),"")</f>
        <v>0</v>
      </c>
      <c r="PW60" s="321">
        <f t="shared" ref="PW60" ca="1" si="16596">IF(PI60&lt;&gt;"",SUMPRODUCT((PT58:PT61=PT60)*(PO58:PO61=PO60)*(PM58:PM61&gt;PM60)),"")</f>
        <v>0</v>
      </c>
      <c r="PX60" s="321">
        <f t="shared" ref="PX60" ca="1" si="16597">IF(PI60&lt;&gt;"",SUMPRODUCT((PT58:PT61=PT60)*(PO58:PO61=PO60)*(PM58:PM61=PM60)*(PQ58:PQ61&gt;PQ60)),"")</f>
        <v>1</v>
      </c>
      <c r="PY60" s="321">
        <f t="shared" ref="PY60" ca="1" si="16598">IF(PI60&lt;&gt;"",SUMPRODUCT((PT58:PT61=PT60)*(PO58:PO61=PO60)*(PM58:PM61=PM60)*(PQ58:PQ61=PQ60)*(PR58:PR61&gt;PR60)),"")</f>
        <v>0</v>
      </c>
      <c r="PZ60" s="321">
        <f t="shared" ref="PZ60" ca="1" si="16599">IF(PI60&lt;&gt;"",SUMPRODUCT((PT58:PT61=PT60)*(PO58:PO61=PO60)*(PM58:PM61=PM60)*(PQ58:PQ61=PQ60)*(PR58:PR61=PR60)*(PS58:PS61&gt;PS60)),"")</f>
        <v>0</v>
      </c>
      <c r="QA60" s="321">
        <f t="shared" ref="QA60:QA61" ca="1" si="16600">IF(PI60&lt;&gt;"",SUM(PU60:PZ60)+1,"")</f>
        <v>3</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f t="shared" ref="AIZ60" ca="1" si="16709">IF(AJA20&lt;&gt;"",SUMPRODUCT((AJH18:AJH21=AJH20)*(AJG18:AJG21=AJG20)*(AJE18:AJE21=AJE20)*(AJF18:AJF21=AJF20)),"")</f>
        <v>2</v>
      </c>
      <c r="AJA60" s="321" t="str">
        <f t="shared" ca="1" si="16408"/>
        <v>Denmark</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1">
        <f t="shared" ca="1" si="16414"/>
        <v>1000</v>
      </c>
      <c r="AJH60" s="321">
        <f t="shared" ca="1" si="16415"/>
        <v>1</v>
      </c>
      <c r="AJI60" s="321">
        <f t="shared" ref="AJI60" ca="1" si="16715">IF(AJA60&lt;&gt;"",VLOOKUP(AJA60,AHN4:AHT40,7,FALSE),"")</f>
        <v>1001</v>
      </c>
      <c r="AJJ60" s="321">
        <f t="shared" ref="AJJ60" ca="1" si="16716">IF(AJA60&lt;&gt;"",VLOOKUP(AJA60,AHN4:AHT40,5,FALSE),"")</f>
        <v>6</v>
      </c>
      <c r="AJK60" s="321">
        <f t="shared" ref="AJK60" ca="1" si="16717">IF(AJA60&lt;&gt;"",VLOOKUP(AJA60,AHN4:AHV40,9,FALSE),"")</f>
        <v>45</v>
      </c>
      <c r="AJL60" s="321">
        <f t="shared" ca="1" si="16419"/>
        <v>1</v>
      </c>
      <c r="AJM60" s="321">
        <f t="shared" ref="AJM60" ca="1" si="16718">IF(AJA60&lt;&gt;"",RANK(AJL60,AJL58:AJL61),"")</f>
        <v>1</v>
      </c>
      <c r="AJN60" s="321">
        <f t="shared" ref="AJN60" ca="1" si="16719">IF(AJA60&lt;&gt;"",SUMPRODUCT((AJL58:AJL61=AJL60)*(AJG58:AJG61&gt;AJG60)),"")</f>
        <v>0</v>
      </c>
      <c r="AJO60" s="321">
        <f t="shared" ref="AJO60" ca="1" si="16720">IF(AJA60&lt;&gt;"",SUMPRODUCT((AJL58:AJL61=AJL60)*(AJG58:AJG61=AJG60)*(AJE58:AJE61&gt;AJE60)),"")</f>
        <v>0</v>
      </c>
      <c r="AJP60" s="321">
        <f t="shared" ref="AJP60" ca="1" si="16721">IF(AJA60&lt;&gt;"",SUMPRODUCT((AJL58:AJL61=AJL60)*(AJG58:AJG61=AJG60)*(AJE58:AJE61=AJE60)*(AJI58:AJI61&gt;AJI60)),"")</f>
        <v>0</v>
      </c>
      <c r="AJQ60" s="321">
        <f t="shared" ref="AJQ60" ca="1" si="16722">IF(AJA60&lt;&gt;"",SUMPRODUCT((AJL58:AJL61=AJL60)*(AJG58:AJG61=AJG60)*(AJE58:AJE61=AJE60)*(AJI58:AJI61=AJI60)*(AJJ58:AJJ61&gt;AJJ60)),"")</f>
        <v>0</v>
      </c>
      <c r="AJR60" s="321">
        <f t="shared" ref="AJR60" ca="1" si="16723">IF(AJA60&lt;&gt;"",SUMPRODUCT((AJL58:AJL61=AJL60)*(AJG58:AJG61=AJG60)*(AJE58:AJE61=AJE60)*(AJI58:AJI61=AJI60)*(AJJ58:AJJ61=AJJ60)*(AJK58:AJK61&gt;AJK60)),"")</f>
        <v>0</v>
      </c>
      <c r="AJS60" s="321">
        <f t="shared" ref="AJS60:AJS61" ca="1" si="16724">IF(AJA60&lt;&gt;"",SUM(AJM60:AJR60)+1,"")</f>
        <v>2</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f ca="1">IF(KK21&lt;&gt;"",SUMPRODUCT((KR18:KR21=KR21)*(KQ18:KQ21=KQ21)*(KO18:KO21=KO21)*(KP18:KP21=KP21)),"")</f>
        <v>3</v>
      </c>
      <c r="KK61" s="321" t="str">
        <f t="shared" ca="1" si="16249"/>
        <v>Denmark</v>
      </c>
      <c r="KL61" s="321">
        <f ca="1">IF(KK61&lt;&gt;"",SUMPRODUCT((MV3:MV42=KK61)*(MY3:MY42=KK62)*(MZ3:MZ42="W"))+SUMPRODUCT((MV3:MV42=KK61)*(MY3:MY42=KK59)*(MZ3:MZ42="W"))+SUMPRODUCT((MV3:MV42=KK61)*(MY3:MY42=KK60)*(MZ3:MZ42="W"))+SUMPRODUCT((MV3:MV42=KK62)*(MY3:MY42=KK61)*(NA3:NA42="W"))+SUMPRODUCT((MV3:MV42=KK59)*(MY3:MY42=KK61)*(NA3:NA42="W"))+SUMPRODUCT((MV3:MV42=KK60)*(MY3:MY42=KK61)*(NA3:NA42="W")),"")</f>
        <v>0</v>
      </c>
      <c r="KM61" s="321">
        <f ca="1">IF(KK61&lt;&gt;"",SUMPRODUCT((MV3:MV42=KK61)*(MY3:MY42=KK62)*(MZ3:MZ42="D"))+SUMPRODUCT((MV3:MV42=KK61)*(MY3:MY42=KK59)*(MZ3:MZ42="D"))+SUMPRODUCT((MV3:MV42=KK61)*(MY3:MY42=KK60)*(MZ3:MZ42="D"))+SUMPRODUCT((MV3:MV42=KK62)*(MY3:MY42=KK61)*(MZ3:MZ42="D"))+SUMPRODUCT((MV3:MV42=KK59)*(MY3:MY42=KK61)*(MZ3:MZ42="D"))+SUMPRODUCT((MV3:MV42=KK60)*(MY3:MY42=KK61)*(MZ3:MZ42="D")),"")</f>
        <v>2</v>
      </c>
      <c r="KN61" s="321">
        <f ca="1">IF(KK61&lt;&gt;"",SUMPRODUCT((MV3:MV42=KK61)*(MY3:MY42=KK62)*(MZ3:MZ42="L"))+SUMPRODUCT((MV3:MV42=KK61)*(MY3:MY42=KK59)*(MZ3:MZ42="L"))+SUMPRODUCT((MV3:MV42=KK61)*(MY3:MY42=KK60)*(MZ3:MZ42="L"))+SUMPRODUCT((MV3:MV42=KK62)*(MY3:MY42=KK61)*(NA3:NA42="L"))+SUMPRODUCT((MV3:MV42=KK59)*(MY3:MY42=KK61)*(NA3:NA42="L"))+SUMPRODUCT((MV3:MV42=KK60)*(MY3:MY42=KK61)*(NA3:NA42="L")),"")</f>
        <v>0</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1">
        <f ca="1">KO61-KP61+1000</f>
        <v>1000</v>
      </c>
      <c r="KR61" s="321">
        <f t="shared" ca="1" si="16250"/>
        <v>2</v>
      </c>
      <c r="KS61" s="321">
        <f ca="1">IF(KK61&lt;&gt;"",VLOOKUP(KK61,IX4:JD40,7,FALSE),"")</f>
        <v>999</v>
      </c>
      <c r="KT61" s="321">
        <f ca="1">IF(KK61&lt;&gt;"",VLOOKUP(KK61,IX4:JD40,5,FALSE),"")</f>
        <v>3</v>
      </c>
      <c r="KU61" s="321">
        <f ca="1">IF(KK61&lt;&gt;"",VLOOKUP(KK61,IX4:JF40,9,FALSE),"")</f>
        <v>45</v>
      </c>
      <c r="KV61" s="321">
        <f t="shared" ca="1" si="16251"/>
        <v>2</v>
      </c>
      <c r="KW61" s="321">
        <f ca="1">IF(KK61&lt;&gt;"",RANK(KV61,KV58:KV61),"")</f>
        <v>1</v>
      </c>
      <c r="KX61" s="321">
        <f ca="1">IF(KK61&lt;&gt;"",SUMPRODUCT((KV58:KV61=KV61)*(KQ58:KQ61&gt;KQ61)),"")</f>
        <v>0</v>
      </c>
      <c r="KY61" s="321">
        <f ca="1">IF(KK61&lt;&gt;"",SUMPRODUCT((KV58:KV61=KV61)*(KQ58:KQ61=KQ61)*(KO58:KO61&gt;KO61)),"")</f>
        <v>0</v>
      </c>
      <c r="KZ61" s="321">
        <f ca="1">IF(KK61&lt;&gt;"",SUMPRODUCT((KV58:KV61=KV61)*(KQ58:KQ61=KQ61)*(KO58:KO61=KO61)*(KS58:KS61&gt;KS61)),"")</f>
        <v>0</v>
      </c>
      <c r="LA61" s="321">
        <f ca="1">IF(KK61&lt;&gt;"",SUMPRODUCT((KV58:KV61=KV61)*(KQ58:KQ61=KQ61)*(KO58:KO61=KO61)*(KS58:KS61=KS61)*(KT58:KT61&gt;KT61)),"")</f>
        <v>0</v>
      </c>
      <c r="LB61" s="321">
        <f ca="1">IF(KK61&lt;&gt;"",SUMPRODUCT((KV58:KV61=KV61)*(KQ58:KQ61=KQ61)*(KO58:KO61=KO61)*(KS58:KS61=KS61)*(KT58:KT61=KT61)*(KU58:KU61&gt;KU61)),"")</f>
        <v>0</v>
      </c>
      <c r="LC61" s="321">
        <f t="shared" ca="1" si="16569"/>
        <v>2</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3</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1</v>
      </c>
      <c r="U65" s="321" t="str">
        <f>IF(AND(T65&lt;&gt;"",T65&gt;1),U25,"")</f>
        <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t="str">
        <f>IF(U65&lt;&gt;"",V65*3+W65*1,"")</f>
        <v/>
      </c>
      <c r="AC65" s="321" t="str">
        <f>IF(U65&lt;&gt;"",VLOOKUP(U65,B4:H40,7,FALSE),"")</f>
        <v/>
      </c>
      <c r="AD65" s="321" t="str">
        <f>IF(U65&lt;&gt;"",VLOOKUP(U65,B4:H40,5,FALSE),"")</f>
        <v/>
      </c>
      <c r="AE65" s="321" t="str">
        <f>IF(U65&lt;&gt;"",VLOOKUP(U65,B4:J40,9,FALSE),"")</f>
        <v/>
      </c>
      <c r="AF65" s="321" t="str">
        <f>AB65</f>
        <v/>
      </c>
      <c r="AG65" s="321" t="str">
        <f>IF(U65&lt;&gt;"",RANK(AF65,AF65:AF68),"")</f>
        <v/>
      </c>
      <c r="AH65" s="321" t="str">
        <f>IF(U65&lt;&gt;"",SUMPRODUCT((AF65:AF68=AF65)*(AA65:AA68&gt;AA65)),"")</f>
        <v/>
      </c>
      <c r="AI65" s="321" t="str">
        <f>IF(U65&lt;&gt;"",SUMPRODUCT((AF65:AF68=AF65)*(AA65:AA68=AA65)*(Y65:Y68&gt;Y65)),"")</f>
        <v/>
      </c>
      <c r="AJ65" s="321" t="str">
        <f>IF(U65&lt;&gt;"",SUMPRODUCT((AF65:AF68=AF65)*(AA65:AA68=AA65)*(Y65:Y68=Y65)*(AC65:AC68&gt;AC65)),"")</f>
        <v/>
      </c>
      <c r="AK65" s="321" t="str">
        <f>IF(U65&lt;&gt;"",SUMPRODUCT((AF65:AF68=AF65)*(AA65:AA68=AA65)*(Y65:Y68=Y65)*(AC65:AC68=AC65)*(AD65:AD68&gt;AD65)),"")</f>
        <v/>
      </c>
      <c r="AL65" s="321" t="str">
        <f>IF(U65&lt;&gt;"",SUMPRODUCT((AF65:AF68=AF65)*(AA65:AA68=AA65)*(Y65:Y68=Y65)*(AC65:AC68=AC65)*(AD65:AD68=AD65)*(AE65:AE68&gt;AE65)),"")</f>
        <v/>
      </c>
      <c r="AM65" s="321" t="str">
        <f>IF(U65&lt;&gt;"",SUM(AG65:AL65),"")</f>
        <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t="str">
        <f ca="1">IF(JQ25&lt;&gt;"",SUMPRODUCT((JX25:JX28=JX25)*(JW25:JW28=JW25)*(JU25:JU28=JU25)*(JV25:JV28=JV25)),"")</f>
        <v/>
      </c>
      <c r="JQ65" s="321" t="str">
        <f ca="1">IF(AND(JP65&lt;&gt;"",JP65&gt;1),JQ25,"")</f>
        <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1">
        <f ca="1">JU65-JV65+1000</f>
        <v>1000</v>
      </c>
      <c r="JX65" s="321" t="str">
        <f ca="1">IF(JQ65&lt;&gt;"",JR65*3+JS65*1,"")</f>
        <v/>
      </c>
      <c r="JY65" s="321" t="str">
        <f ca="1">IF(JQ65&lt;&gt;"",VLOOKUP(JQ65,IX4:JD40,7,FALSE),"")</f>
        <v/>
      </c>
      <c r="JZ65" s="321" t="str">
        <f ca="1">IF(JQ65&lt;&gt;"",VLOOKUP(JQ65,IX4:JD40,5,FALSE),"")</f>
        <v/>
      </c>
      <c r="KA65" s="321" t="str">
        <f ca="1">IF(JQ65&lt;&gt;"",VLOOKUP(JQ65,IX4:JF40,9,FALSE),"")</f>
        <v/>
      </c>
      <c r="KB65" s="321" t="str">
        <f ca="1">JX65</f>
        <v/>
      </c>
      <c r="KC65" s="321" t="str">
        <f ca="1">IF(JQ65&lt;&gt;"",RANK(KB65,KB65:KB68),"")</f>
        <v/>
      </c>
      <c r="KD65" s="321" t="str">
        <f ca="1">IF(JQ65&lt;&gt;"",SUMPRODUCT((KB65:KB68=KB65)*(JW65:JW68&gt;JW65)),"")</f>
        <v/>
      </c>
      <c r="KE65" s="321" t="str">
        <f ca="1">IF(JQ65&lt;&gt;"",SUMPRODUCT((KB65:KB68=KB65)*(JW65:JW68=JW65)*(JU65:JU68&gt;JU65)),"")</f>
        <v/>
      </c>
      <c r="KF65" s="321" t="str">
        <f ca="1">IF(JQ65&lt;&gt;"",SUMPRODUCT((KB65:KB68=KB65)*(JW65:JW68=JW65)*(JU65:JU68=JU65)*(JY65:JY68&gt;JY65)),"")</f>
        <v/>
      </c>
      <c r="KG65" s="321" t="str">
        <f ca="1">IF(JQ65&lt;&gt;"",SUMPRODUCT((KB65:KB68=KB65)*(JW65:JW68=JW65)*(JU65:JU68=JU65)*(JY65:JY68=JY65)*(JZ65:JZ68&gt;JZ65)),"")</f>
        <v/>
      </c>
      <c r="KH65" s="321" t="str">
        <f ca="1">IF(JQ65&lt;&gt;"",SUMPRODUCT((KB65:KB68=KB65)*(JW65:JW68=JW65)*(JU65:JU68=JU65)*(JY65:JY68=JY65)*(JZ65:JZ68=JZ65)*(KA65:KA68&gt;KA65)),"")</f>
        <v/>
      </c>
      <c r="KI65" s="321" t="str">
        <f ca="1">IF(JQ65&lt;&gt;"",SUM(KC65:KH65),"")</f>
        <v/>
      </c>
      <c r="OC65" s="321">
        <f ca="1">SUMPRODUCT((OC25:OC28=OC25)*(OB25:OB28=OB25)*(NZ25:NZ28&gt;NZ25))+1</f>
        <v>1</v>
      </c>
      <c r="ON65" s="321" t="str">
        <f t="shared" ref="ON65" ca="1" si="17137">IF(OO25&lt;&gt;"",SUMPRODUCT((OV25:OV28=OV25)*(OU25:OU28=OU25)*(OS25:OS28=OS25)*(OT25:OT28=OT25)),"")</f>
        <v/>
      </c>
      <c r="OO65" s="321" t="str">
        <f t="shared" ref="OO65:OO68" ca="1" si="17138">IF(AND(ON65&lt;&gt;"",ON65&gt;1),OO25,"")</f>
        <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t="str">
        <f t="shared" ref="OV65:OV68" ca="1" si="17145">IF(OO65&lt;&gt;"",OP65*3+OQ65*1,"")</f>
        <v/>
      </c>
      <c r="OW65" s="321" t="str">
        <f t="shared" ref="OW65" ca="1" si="17146">IF(OO65&lt;&gt;"",VLOOKUP(OO65,NV4:OB40,7,FALSE),"")</f>
        <v/>
      </c>
      <c r="OX65" s="321" t="str">
        <f t="shared" ref="OX65" ca="1" si="17147">IF(OO65&lt;&gt;"",VLOOKUP(OO65,NV4:OB40,5,FALSE),"")</f>
        <v/>
      </c>
      <c r="OY65" s="321" t="str">
        <f t="shared" ref="OY65" ca="1" si="17148">IF(OO65&lt;&gt;"",VLOOKUP(OO65,NV4:OD40,9,FALSE),"")</f>
        <v/>
      </c>
      <c r="OZ65" s="321" t="str">
        <f t="shared" ref="OZ65:OZ68" ca="1" si="17149">OV65</f>
        <v/>
      </c>
      <c r="PA65" s="321" t="str">
        <f t="shared" ref="PA65" ca="1" si="17150">IF(OO65&lt;&gt;"",RANK(OZ65,OZ65:OZ68),"")</f>
        <v/>
      </c>
      <c r="PB65" s="321" t="str">
        <f t="shared" ref="PB65" ca="1" si="17151">IF(OO65&lt;&gt;"",SUMPRODUCT((OZ65:OZ68=OZ65)*(OU65:OU68&gt;OU65)),"")</f>
        <v/>
      </c>
      <c r="PC65" s="321" t="str">
        <f t="shared" ref="PC65" ca="1" si="17152">IF(OO65&lt;&gt;"",SUMPRODUCT((OZ65:OZ68=OZ65)*(OU65:OU68=OU65)*(OS65:OS68&gt;OS65)),"")</f>
        <v/>
      </c>
      <c r="PD65" s="321" t="str">
        <f t="shared" ref="PD65" ca="1" si="17153">IF(OO65&lt;&gt;"",SUMPRODUCT((OZ65:OZ68=OZ65)*(OU65:OU68=OU65)*(OS65:OS68=OS65)*(OW65:OW68&gt;OW65)),"")</f>
        <v/>
      </c>
      <c r="PE65" s="321" t="str">
        <f t="shared" ref="PE65" ca="1" si="17154">IF(OO65&lt;&gt;"",SUMPRODUCT((OZ65:OZ68=OZ65)*(OU65:OU68=OU65)*(OS65:OS68=OS65)*(OW65:OW68=OW65)*(OX65:OX68&gt;OX65)),"")</f>
        <v/>
      </c>
      <c r="PF65" s="321" t="str">
        <f t="shared" ref="PF65" ca="1" si="17155">IF(OO65&lt;&gt;"",SUMPRODUCT((OZ65:OZ68=OZ65)*(OU65:OU68=OU65)*(OS65:OS68=OS65)*(OW65:OW68=OW65)*(OX65:OX68=OX65)*(OY65:OY68&gt;OY65)),"")</f>
        <v/>
      </c>
      <c r="PG65" s="321" t="str">
        <f t="shared" ref="PG65:PG68" ca="1" si="17156">IF(OO65&lt;&gt;"",SUM(PA65:PF65),"")</f>
        <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t="str">
        <f t="shared" ref="ADH65" ca="1" si="17197">IF(ADI25&lt;&gt;"",SUMPRODUCT((ADP25:ADP28=ADP25)*(ADO25:ADO28=ADO25)*(ADM25:ADM28=ADM25)*(ADN25:ADN28=ADN25)),"")</f>
        <v/>
      </c>
      <c r="ADI65" s="321" t="str">
        <f t="shared" ref="ADI65:ADI68" ca="1" si="17198">IF(AND(ADH65&lt;&gt;"",ADH65&gt;1),ADI25,"")</f>
        <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t="str">
        <f t="shared" ref="ADP65:ADP68" ca="1" si="17205">IF(ADI65&lt;&gt;"",ADJ65*3+ADK65*1,"")</f>
        <v/>
      </c>
      <c r="ADQ65" s="321" t="str">
        <f t="shared" ref="ADQ65" ca="1" si="17206">IF(ADI65&lt;&gt;"",VLOOKUP(ADI65,ACP4:ACV40,7,FALSE),"")</f>
        <v/>
      </c>
      <c r="ADR65" s="321" t="str">
        <f t="shared" ref="ADR65" ca="1" si="17207">IF(ADI65&lt;&gt;"",VLOOKUP(ADI65,ACP4:ACV40,5,FALSE),"")</f>
        <v/>
      </c>
      <c r="ADS65" s="321" t="str">
        <f t="shared" ref="ADS65" ca="1" si="17208">IF(ADI65&lt;&gt;"",VLOOKUP(ADI65,ACP4:ACX40,9,FALSE),"")</f>
        <v/>
      </c>
      <c r="ADT65" s="321" t="str">
        <f t="shared" ref="ADT65:ADT68" ca="1" si="17209">ADP65</f>
        <v/>
      </c>
      <c r="ADU65" s="321" t="str">
        <f t="shared" ref="ADU65" ca="1" si="17210">IF(ADI65&lt;&gt;"",RANK(ADT65,ADT65:ADT68),"")</f>
        <v/>
      </c>
      <c r="ADV65" s="321" t="str">
        <f t="shared" ref="ADV65" ca="1" si="17211">IF(ADI65&lt;&gt;"",SUMPRODUCT((ADT65:ADT68=ADT65)*(ADO65:ADO68&gt;ADO65)),"")</f>
        <v/>
      </c>
      <c r="ADW65" s="321" t="str">
        <f t="shared" ref="ADW65" ca="1" si="17212">IF(ADI65&lt;&gt;"",SUMPRODUCT((ADT65:ADT68=ADT65)*(ADO65:ADO68=ADO65)*(ADM65:ADM68&gt;ADM65)),"")</f>
        <v/>
      </c>
      <c r="ADX65" s="321" t="str">
        <f t="shared" ref="ADX65" ca="1" si="17213">IF(ADI65&lt;&gt;"",SUMPRODUCT((ADT65:ADT68=ADT65)*(ADO65:ADO68=ADO65)*(ADM65:ADM68=ADM65)*(ADQ65:ADQ68&gt;ADQ65)),"")</f>
        <v/>
      </c>
      <c r="ADY65" s="321" t="str">
        <f t="shared" ref="ADY65" ca="1" si="17214">IF(ADI65&lt;&gt;"",SUMPRODUCT((ADT65:ADT68=ADT65)*(ADO65:ADO68=ADO65)*(ADM65:ADM68=ADM65)*(ADQ65:ADQ68=ADQ65)*(ADR65:ADR68&gt;ADR65)),"")</f>
        <v/>
      </c>
      <c r="ADZ65" s="321" t="str">
        <f t="shared" ref="ADZ65" ca="1" si="17215">IF(ADI65&lt;&gt;"",SUMPRODUCT((ADT65:ADT68=ADT65)*(ADO65:ADO68=ADO65)*(ADM65:ADM68=ADM65)*(ADQ65:ADQ68=ADQ65)*(ADR65:ADR68=ADR65)*(ADS65:ADS68&gt;ADS65)),"")</f>
        <v/>
      </c>
      <c r="AEA65" s="321" t="str">
        <f t="shared" ref="AEA65:AEA68" ca="1" si="17216">IF(ADI65&lt;&gt;"",SUM(ADU65:ADZ65),"")</f>
        <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1</v>
      </c>
      <c r="AIO65" s="321">
        <f t="shared" ref="AIO65" ca="1" si="17226">IF(AIG65&lt;&gt;"",VLOOKUP(AIG65,AHN4:AHT40,7,FALSE),"")</f>
        <v>1003</v>
      </c>
      <c r="AIP65" s="321">
        <f t="shared" ref="AIP65" ca="1" si="17227">IF(AIG65&lt;&gt;"",VLOOKUP(AIG65,AHN4:AHT40,5,FALSE),"")</f>
        <v>6</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2</v>
      </c>
      <c r="T66" s="321">
        <f>IF(U26&lt;&gt;"",SUMPRODUCT((AB25:AB28=AB26)*(AA25:AA28=AA26)*(Y25:Y28=Y26)*(Z25:Z28=Z26)),"")</f>
        <v>1</v>
      </c>
      <c r="U66" s="321" t="str">
        <f t="shared" ref="U66:U68" si="17317">IF(AND(T66&lt;&gt;"",T66&gt;1),U26,"")</f>
        <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t="str">
        <f t="shared" ref="AB66:AB68" si="17318">IF(U66&lt;&gt;"",V66*3+W66*1,"")</f>
        <v/>
      </c>
      <c r="AC66" s="321" t="str">
        <f>IF(U66&lt;&gt;"",VLOOKUP(U66,B4:H40,7,FALSE),"")</f>
        <v/>
      </c>
      <c r="AD66" s="321" t="str">
        <f>IF(U66&lt;&gt;"",VLOOKUP(U66,B4:H40,5,FALSE),"")</f>
        <v/>
      </c>
      <c r="AE66" s="321" t="str">
        <f>IF(U66&lt;&gt;"",VLOOKUP(U66,B4:J40,9,FALSE),"")</f>
        <v/>
      </c>
      <c r="AF66" s="321" t="str">
        <f t="shared" ref="AF66:AF68" si="17319">AB66</f>
        <v/>
      </c>
      <c r="AG66" s="321" t="str">
        <f>IF(U66&lt;&gt;"",RANK(AF66,AF65:AF68),"")</f>
        <v/>
      </c>
      <c r="AH66" s="321" t="str">
        <f>IF(U66&lt;&gt;"",SUMPRODUCT((AF65:AF68=AF66)*(AA65:AA68&gt;AA66)),"")</f>
        <v/>
      </c>
      <c r="AI66" s="321" t="str">
        <f>IF(U66&lt;&gt;"",SUMPRODUCT((AF65:AF68=AF66)*(AA65:AA68=AA66)*(Y65:Y68&gt;Y66)),"")</f>
        <v/>
      </c>
      <c r="AJ66" s="321" t="str">
        <f>IF(U66&lt;&gt;"",SUMPRODUCT((AF65:AF68=AF66)*(AA65:AA68=AA66)*(Y65:Y68=Y66)*(AC65:AC68&gt;AC66)),"")</f>
        <v/>
      </c>
      <c r="AK66" s="321" t="str">
        <f>IF(U66&lt;&gt;"",SUMPRODUCT((AF65:AF68=AF66)*(AA65:AA68=AA66)*(Y65:Y68=Y66)*(AC65:AC68=AC66)*(AD65:AD68&gt;AD66)),"")</f>
        <v/>
      </c>
      <c r="AL66" s="321" t="str">
        <f>IF(U66&lt;&gt;"",SUMPRODUCT((AF65:AF68=AF66)*(AA65:AA68=AA66)*(Y65:Y68=Y66)*(AC65:AC68=AC66)*(AD65:AD68=AD66)*(AE65:AE68&gt;AE66)),"")</f>
        <v/>
      </c>
      <c r="AM66" s="321" t="str">
        <f>IF(U66&lt;&gt;"",SUM(AG66:AL66),"")</f>
        <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t="str">
        <f ca="1">IF(JQ26&lt;&gt;"",SUMPRODUCT((JX25:JX28=JX26)*(JW25:JW28=JW26)*(JU25:JU28=JU26)*(JV25:JV28=JV26)),"")</f>
        <v/>
      </c>
      <c r="JQ66" s="321" t="str">
        <f t="shared" ref="JQ66:JQ68" ca="1" si="17329">IF(AND(JP66&lt;&gt;"",JP66&gt;1),JQ26,"")</f>
        <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1">
        <f ca="1">JU66-JV66+1000</f>
        <v>1000</v>
      </c>
      <c r="JX66" s="321" t="str">
        <f t="shared" ref="JX66:JX68" ca="1" si="17330">IF(JQ66&lt;&gt;"",JR66*3+JS66*1,"")</f>
        <v/>
      </c>
      <c r="JY66" s="321" t="str">
        <f ca="1">IF(JQ66&lt;&gt;"",VLOOKUP(JQ66,IX4:JD40,7,FALSE),"")</f>
        <v/>
      </c>
      <c r="JZ66" s="321" t="str">
        <f ca="1">IF(JQ66&lt;&gt;"",VLOOKUP(JQ66,IX4:JD40,5,FALSE),"")</f>
        <v/>
      </c>
      <c r="KA66" s="321" t="str">
        <f ca="1">IF(JQ66&lt;&gt;"",VLOOKUP(JQ66,IX4:JF40,9,FALSE),"")</f>
        <v/>
      </c>
      <c r="KB66" s="321" t="str">
        <f t="shared" ref="KB66:KB68" ca="1" si="17331">JX66</f>
        <v/>
      </c>
      <c r="KC66" s="321" t="str">
        <f ca="1">IF(JQ66&lt;&gt;"",RANK(KB66,KB65:KB68),"")</f>
        <v/>
      </c>
      <c r="KD66" s="321" t="str">
        <f ca="1">IF(JQ66&lt;&gt;"",SUMPRODUCT((KB65:KB68=KB66)*(JW65:JW68&gt;JW66)),"")</f>
        <v/>
      </c>
      <c r="KE66" s="321" t="str">
        <f ca="1">IF(JQ66&lt;&gt;"",SUMPRODUCT((KB65:KB68=KB66)*(JW65:JW68=JW66)*(JU65:JU68&gt;JU66)),"")</f>
        <v/>
      </c>
      <c r="KF66" s="321" t="str">
        <f ca="1">IF(JQ66&lt;&gt;"",SUMPRODUCT((KB65:KB68=KB66)*(JW65:JW68=JW66)*(JU65:JU68=JU66)*(JY65:JY68&gt;JY66)),"")</f>
        <v/>
      </c>
      <c r="KG66" s="321" t="str">
        <f ca="1">IF(JQ66&lt;&gt;"",SUMPRODUCT((KB65:KB68=KB66)*(JW65:JW68=JW66)*(JU65:JU68=JU66)*(JY65:JY68=JY66)*(JZ65:JZ68&gt;JZ66)),"")</f>
        <v/>
      </c>
      <c r="KH66" s="321" t="str">
        <f ca="1">IF(JQ66&lt;&gt;"",SUMPRODUCT((KB65:KB68=KB66)*(JW65:JW68=JW66)*(JU65:JU68=JU66)*(JY65:JY68=JY66)*(JZ65:JZ68=JZ66)*(KA65:KA68&gt;KA66)),"")</f>
        <v/>
      </c>
      <c r="KI66" s="321" t="str">
        <f ca="1">IF(JQ66&lt;&gt;"",SUM(KC66:KH66),"")</f>
        <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t="str">
        <f t="shared" ref="ON66" ca="1" si="17336">IF(OO26&lt;&gt;"",SUMPRODUCT((OV25:OV28=OV26)*(OU25:OU28=OU26)*(OS25:OS28=OS26)*(OT25:OT28=OT26)),"")</f>
        <v/>
      </c>
      <c r="OO66" s="321" t="str">
        <f t="shared" ca="1" si="17138"/>
        <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t="str">
        <f t="shared" ca="1" si="17145"/>
        <v/>
      </c>
      <c r="OW66" s="321" t="str">
        <f t="shared" ref="OW66" ca="1" si="17342">IF(OO66&lt;&gt;"",VLOOKUP(OO66,NV4:OB40,7,FALSE),"")</f>
        <v/>
      </c>
      <c r="OX66" s="321" t="str">
        <f t="shared" ref="OX66" ca="1" si="17343">IF(OO66&lt;&gt;"",VLOOKUP(OO66,NV4:OB40,5,FALSE),"")</f>
        <v/>
      </c>
      <c r="OY66" s="321" t="str">
        <f t="shared" ref="OY66" ca="1" si="17344">IF(OO66&lt;&gt;"",VLOOKUP(OO66,NV4:OD40,9,FALSE),"")</f>
        <v/>
      </c>
      <c r="OZ66" s="321" t="str">
        <f t="shared" ca="1" si="17149"/>
        <v/>
      </c>
      <c r="PA66" s="321" t="str">
        <f t="shared" ref="PA66" ca="1" si="17345">IF(OO66&lt;&gt;"",RANK(OZ66,OZ65:OZ68),"")</f>
        <v/>
      </c>
      <c r="PB66" s="321" t="str">
        <f t="shared" ref="PB66" ca="1" si="17346">IF(OO66&lt;&gt;"",SUMPRODUCT((OZ65:OZ68=OZ66)*(OU65:OU68&gt;OU66)),"")</f>
        <v/>
      </c>
      <c r="PC66" s="321" t="str">
        <f t="shared" ref="PC66" ca="1" si="17347">IF(OO66&lt;&gt;"",SUMPRODUCT((OZ65:OZ68=OZ66)*(OU65:OU68=OU66)*(OS65:OS68&gt;OS66)),"")</f>
        <v/>
      </c>
      <c r="PD66" s="321" t="str">
        <f t="shared" ref="PD66" ca="1" si="17348">IF(OO66&lt;&gt;"",SUMPRODUCT((OZ65:OZ68=OZ66)*(OU65:OU68=OU66)*(OS65:OS68=OS66)*(OW65:OW68&gt;OW66)),"")</f>
        <v/>
      </c>
      <c r="PE66" s="321" t="str">
        <f t="shared" ref="PE66" ca="1" si="17349">IF(OO66&lt;&gt;"",SUMPRODUCT((OZ65:OZ68=OZ66)*(OU65:OU68=OU66)*(OS65:OS68=OS66)*(OW65:OW68=OW66)*(OX65:OX68&gt;OX66)),"")</f>
        <v/>
      </c>
      <c r="PF66" s="321" t="str">
        <f t="shared" ref="PF66" ca="1" si="17350">IF(OO66&lt;&gt;"",SUMPRODUCT((OZ65:OZ68=OZ66)*(OU65:OU68=OU66)*(OS65:OS68=OS66)*(OW65:OW68=OW66)*(OX65:OX68=OX66)*(OY65:OY68&gt;OY66)),"")</f>
        <v/>
      </c>
      <c r="PG66" s="321" t="str">
        <f t="shared" ca="1" si="17156"/>
        <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t="str">
        <f t="shared" ref="ADH66" ca="1" si="17444">IF(ADI26&lt;&gt;"",SUMPRODUCT((ADP25:ADP28=ADP26)*(ADO25:ADO28=ADO26)*(ADM25:ADM28=ADM26)*(ADN25:ADN28=ADN26)),"")</f>
        <v/>
      </c>
      <c r="ADI66" s="321" t="str">
        <f t="shared" ca="1" si="17198"/>
        <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t="str">
        <f t="shared" ca="1" si="17205"/>
        <v/>
      </c>
      <c r="ADQ66" s="321" t="str">
        <f t="shared" ref="ADQ66" ca="1" si="17450">IF(ADI66&lt;&gt;"",VLOOKUP(ADI66,ACP4:ACV40,7,FALSE),"")</f>
        <v/>
      </c>
      <c r="ADR66" s="321" t="str">
        <f t="shared" ref="ADR66" ca="1" si="17451">IF(ADI66&lt;&gt;"",VLOOKUP(ADI66,ACP4:ACV40,5,FALSE),"")</f>
        <v/>
      </c>
      <c r="ADS66" s="321" t="str">
        <f t="shared" ref="ADS66" ca="1" si="17452">IF(ADI66&lt;&gt;"",VLOOKUP(ADI66,ACP4:ACX40,9,FALSE),"")</f>
        <v/>
      </c>
      <c r="ADT66" s="321" t="str">
        <f t="shared" ca="1" si="17209"/>
        <v/>
      </c>
      <c r="ADU66" s="321" t="str">
        <f t="shared" ref="ADU66" ca="1" si="17453">IF(ADI66&lt;&gt;"",RANK(ADT66,ADT65:ADT68),"")</f>
        <v/>
      </c>
      <c r="ADV66" s="321" t="str">
        <f t="shared" ref="ADV66" ca="1" si="17454">IF(ADI66&lt;&gt;"",SUMPRODUCT((ADT65:ADT68=ADT66)*(ADO65:ADO68&gt;ADO66)),"")</f>
        <v/>
      </c>
      <c r="ADW66" s="321" t="str">
        <f t="shared" ref="ADW66" ca="1" si="17455">IF(ADI66&lt;&gt;"",SUMPRODUCT((ADT65:ADT68=ADT66)*(ADO65:ADO68=ADO66)*(ADM65:ADM68&gt;ADM66)),"")</f>
        <v/>
      </c>
      <c r="ADX66" s="321" t="str">
        <f t="shared" ref="ADX66" ca="1" si="17456">IF(ADI66&lt;&gt;"",SUMPRODUCT((ADT65:ADT68=ADT66)*(ADO65:ADO68=ADO66)*(ADM65:ADM68=ADM66)*(ADQ65:ADQ68&gt;ADQ66)),"")</f>
        <v/>
      </c>
      <c r="ADY66" s="321" t="str">
        <f t="shared" ref="ADY66" ca="1" si="17457">IF(ADI66&lt;&gt;"",SUMPRODUCT((ADT65:ADT68=ADT66)*(ADO65:ADO68=ADO66)*(ADM65:ADM68=ADM66)*(ADQ65:ADQ68=ADQ66)*(ADR65:ADR68&gt;ADR66)),"")</f>
        <v/>
      </c>
      <c r="ADZ66" s="321" t="str">
        <f t="shared" ref="ADZ66" ca="1" si="17458">IF(ADI66&lt;&gt;"",SUMPRODUCT((ADT65:ADT68=ADT66)*(ADO65:ADO68=ADO66)*(ADM65:ADM68=ADM66)*(ADQ65:ADQ68=ADQ66)*(ADR65:ADR68=ADR66)*(ADS65:ADS68&gt;ADS66)),"")</f>
        <v/>
      </c>
      <c r="AEA66" s="321" t="str">
        <f t="shared" ca="1" si="17216"/>
        <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1</v>
      </c>
      <c r="AIO66" s="321">
        <f t="shared" ref="AIO66" ca="1" si="17486">IF(AIG66&lt;&gt;"",VLOOKUP(AIG66,AHN4:AHT40,7,FALSE),"")</f>
        <v>1004</v>
      </c>
      <c r="AIP66" s="321">
        <f t="shared" ref="AIP66" ca="1" si="17487">IF(AIG66&lt;&gt;"",VLOOKUP(AIG66,AHN4:AHT40,5,FALSE),"")</f>
        <v>4</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f>IF(U27&lt;&gt;"",SUMPRODUCT((AB25:AB28=AB27)*(AA25:AA28=AA27)*(Y25:Y28=Y27)*(Z25:Z28=Z27)),"")</f>
        <v>1</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3</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2</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f ca="1">IF(FM32&lt;&gt;"",SUMPRODUCT((FT31:FT34=FT32)*(FS31:FS34=FS32)*(FQ31:FQ34=FQ32)*(FR31:FR34=FR32)),"")</f>
        <v>3</v>
      </c>
      <c r="FM72" s="321" t="str">
        <f t="shared" ref="FM72:FM74" ca="1" si="18418">IF(AND(FL72&lt;&gt;"",FL72&gt;1),FM32,"")</f>
        <v>Ukraine</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2</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1">
        <f ca="1">FQ72-FR72+1000</f>
        <v>1000</v>
      </c>
      <c r="FT72" s="321">
        <f t="shared" ref="FT72:FT74" ca="1" si="18419">IF(FM72&lt;&gt;"",FN72*3+FO72*1,"")</f>
        <v>2</v>
      </c>
      <c r="FU72" s="321">
        <f ca="1">IF(FM72&lt;&gt;"",VLOOKUP(FM72,DZ4:EF40,7,FALSE),"")</f>
        <v>997</v>
      </c>
      <c r="FV72" s="321">
        <f ca="1">IF(FM72&lt;&gt;"",VLOOKUP(FM72,DZ4:EF40,5,FALSE),"")</f>
        <v>2</v>
      </c>
      <c r="FW72" s="321">
        <f ca="1">IF(FM72&lt;&gt;"",VLOOKUP(FM72,DZ4:EH40,9,FALSE),"")</f>
        <v>0</v>
      </c>
      <c r="FX72" s="321">
        <f t="shared" ref="FX72:FX74" ca="1" si="18420">FT72</f>
        <v>2</v>
      </c>
      <c r="FY72" s="321">
        <f ca="1">IF(FM72&lt;&gt;"",RANK(FX72,FX71:FX74),"")</f>
        <v>1</v>
      </c>
      <c r="FZ72" s="321">
        <f ca="1">IF(FM72&lt;&gt;"",SUMPRODUCT((FX71:FX74=FX72)*(FS71:FS74&gt;FS72)),"")</f>
        <v>0</v>
      </c>
      <c r="GA72" s="321">
        <f ca="1">IF(FM72&lt;&gt;"",SUMPRODUCT((FX71:FX74=FX72)*(FS71:FS74=FS72)*(FQ71:FQ74&gt;FQ72)),"")</f>
        <v>0</v>
      </c>
      <c r="GB72" s="321">
        <f ca="1">IF(FM72&lt;&gt;"",SUMPRODUCT((FX71:FX74=FX72)*(FS71:FS74=FS72)*(FQ71:FQ74=FQ72)*(FU71:FU74&gt;FU72)),"")</f>
        <v>1</v>
      </c>
      <c r="GC72" s="321">
        <f ca="1">IF(FM72&lt;&gt;"",SUMPRODUCT((FX71:FX74=FX72)*(FS71:FS74=FS72)*(FQ71:FQ74=FQ72)*(FU71:FU74=FU72)*(FV71:FV74&gt;FV72)),"")</f>
        <v>0</v>
      </c>
      <c r="GD72" s="321">
        <f ca="1">IF(FM72&lt;&gt;"",SUMPRODUCT((FX71:FX74=FX72)*(FS71:FS74=FS72)*(FQ71:FQ74=FQ72)*(FU71:FU74=FU72)*(FV71:FV74=FV72)*(FW71:FW74&gt;FW72)),"")</f>
        <v>0</v>
      </c>
      <c r="GE72" s="321">
        <f ca="1">IF(FM72&lt;&gt;"",SUM(FY72:GD72)+1,"")</f>
        <v>3</v>
      </c>
      <c r="JE72" s="321">
        <f ca="1">SUMPRODUCT((JE31:JE34=JE32)*(JD31:JD34=JD32)*(JB31:JB34&gt;JB32))+1</f>
        <v>2</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f t="shared" ref="UF72" ca="1" si="18477">IF(UG32&lt;&gt;"",SUMPRODUCT((UN31:UN34=UN32)*(UM31:UM34=UM32)*(UK31:UK34=UK32)*(UL31:UL34=UL32)),"")</f>
        <v>2</v>
      </c>
      <c r="UG72" s="321" t="str">
        <f t="shared" ref="UG72:UG74" ca="1" si="18478">IF(AND(UF72&lt;&gt;"",UF72&gt;1),UG32,"")</f>
        <v>Ukraine</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f t="shared" ref="UN72:UN74" ca="1" si="18485">IF(UG72&lt;&gt;"",UH72*3+UI72*1,"")</f>
        <v>1</v>
      </c>
      <c r="UO72" s="321">
        <f t="shared" ref="UO72" ca="1" si="18486">IF(UG72&lt;&gt;"",VLOOKUP(UG72,ST4:SZ40,7,FALSE),"")</f>
        <v>999</v>
      </c>
      <c r="UP72" s="321">
        <f t="shared" ref="UP72" ca="1" si="18487">IF(UG72&lt;&gt;"",VLOOKUP(UG72,ST4:SZ40,5,FALSE),"")</f>
        <v>1</v>
      </c>
      <c r="UQ72" s="321">
        <f t="shared" ref="UQ72" ca="1" si="18488">IF(UG72&lt;&gt;"",VLOOKUP(UG72,ST4:TB40,9,FALSE),"")</f>
        <v>0</v>
      </c>
      <c r="UR72" s="321">
        <f t="shared" ref="UR72:UR74" ca="1" si="18489">UN72</f>
        <v>1</v>
      </c>
      <c r="US72" s="321">
        <f t="shared" ref="US72" ca="1" si="18490">IF(UG72&lt;&gt;"",RANK(UR72,UR71:UR74),"")</f>
        <v>1</v>
      </c>
      <c r="UT72" s="321">
        <f t="shared" ref="UT72" ca="1" si="18491">IF(UG72&lt;&gt;"",SUMPRODUCT((UR71:UR74=UR72)*(UM71:UM74&gt;UM72)),"")</f>
        <v>0</v>
      </c>
      <c r="UU72" s="321">
        <f t="shared" ref="UU72" ca="1" si="18492">IF(UG72&lt;&gt;"",SUMPRODUCT((UR71:UR74=UR72)*(UM71:UM74=UM72)*(UK71:UK74&gt;UK72)),"")</f>
        <v>0</v>
      </c>
      <c r="UV72" s="321">
        <f t="shared" ref="UV72" ca="1" si="18493">IF(UG72&lt;&gt;"",SUMPRODUCT((UR71:UR74=UR72)*(UM71:UM74=UM72)*(UK71:UK74=UK72)*(UO71:UO74&gt;UO72)),"")</f>
        <v>0</v>
      </c>
      <c r="UW72" s="321">
        <f t="shared" ref="UW72" ca="1" si="18494">IF(UG72&lt;&gt;"",SUMPRODUCT((UR71:UR74=UR72)*(UM71:UM74=UM72)*(UK71:UK74=UK72)*(UO71:UO74=UO72)*(UP71:UP74&gt;UP72)),"")</f>
        <v>1</v>
      </c>
      <c r="UX72" s="321">
        <f t="shared" ref="UX72" ca="1" si="18495">IF(UG72&lt;&gt;"",SUMPRODUCT((UR71:UR74=UR72)*(UM71:UM74=UM72)*(UK71:UK74=UK72)*(UO71:UO74=UO72)*(UP71:UP74=UP72)*(UQ71:UQ74&gt;UQ72)),"")</f>
        <v>0</v>
      </c>
      <c r="UY72" s="321">
        <f t="shared" ref="UY72" ca="1" si="18496">IF(UG72&lt;&gt;"",SUM(US72:UX72)+1,"")</f>
        <v>3</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f ca="1">IF(FM33&lt;&gt;"",SUMPRODUCT((FT31:FT34=FT33)*(FS31:FS34=FS33)*(FQ31:FQ34=FQ33)*(FR31:FR34=FR33)),"")</f>
        <v>3</v>
      </c>
      <c r="FM73" s="321" t="str">
        <f t="shared" ca="1" si="18418"/>
        <v>Slovakia</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2</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1">
        <f ca="1">FQ73-FR73+1000</f>
        <v>1000</v>
      </c>
      <c r="FT73" s="321">
        <f t="shared" ca="1" si="18419"/>
        <v>2</v>
      </c>
      <c r="FU73" s="321">
        <f ca="1">IF(FM73&lt;&gt;"",VLOOKUP(FM73,DZ4:EF40,7,FALSE),"")</f>
        <v>999</v>
      </c>
      <c r="FV73" s="321">
        <f ca="1">IF(FM73&lt;&gt;"",VLOOKUP(FM73,DZ4:EF40,5,FALSE),"")</f>
        <v>3</v>
      </c>
      <c r="FW73" s="321">
        <f ca="1">IF(FM73&lt;&gt;"",VLOOKUP(FM73,DZ4:EH40,9,FALSE),"")</f>
        <v>38</v>
      </c>
      <c r="FX73" s="321">
        <f t="shared" ca="1" si="18420"/>
        <v>2</v>
      </c>
      <c r="FY73" s="321">
        <f ca="1">IF(FM73&lt;&gt;"",RANK(FX73,FX71:FX74),"")</f>
        <v>1</v>
      </c>
      <c r="FZ73" s="321">
        <f ca="1">IF(FM73&lt;&gt;"",SUMPRODUCT((FX71:FX74=FX73)*(FS71:FS74&gt;FS73)),"")</f>
        <v>0</v>
      </c>
      <c r="GA73" s="321">
        <f ca="1">IF(FM73&lt;&gt;"",SUMPRODUCT((FX71:FX74=FX73)*(FS71:FS74=FS73)*(FQ71:FQ74&gt;FQ73)),"")</f>
        <v>0</v>
      </c>
      <c r="GB73" s="321">
        <f ca="1">IF(FM73&lt;&gt;"",SUMPRODUCT((FX71:FX74=FX73)*(FS71:FS74=FS73)*(FQ71:FQ74=FQ73)*(FU71:FU74&gt;FU73)),"")</f>
        <v>0</v>
      </c>
      <c r="GC73" s="321">
        <f ca="1">IF(FM73&lt;&gt;"",SUMPRODUCT((FX71:FX74=FX73)*(FS71:FS74=FS73)*(FQ71:FQ74=FQ73)*(FU71:FU74=FU73)*(FV71:FV74&gt;FV73)),"")</f>
        <v>0</v>
      </c>
      <c r="GD73" s="321">
        <f ca="1">IF(FM73&lt;&gt;"",SUMPRODUCT((FX71:FX74=FX73)*(FS71:FS74=FS73)*(FQ71:FQ74=FQ73)*(FU71:FU74=FU73)*(FV71:FV74=FV73)*(FW71:FW74&gt;FW73)),"")</f>
        <v>0</v>
      </c>
      <c r="GE73" s="321">
        <f t="shared" ref="GE73:GE74" ca="1" si="18743">IF(FM73&lt;&gt;"",SUM(FY73:GD73)+1,"")</f>
        <v>2</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f t="shared" ref="UF73" ca="1" si="18791">IF(UG33&lt;&gt;"",SUMPRODUCT((UN31:UN34=UN33)*(UM31:UM34=UM33)*(UK31:UK34=UK33)*(UL31:UL34=UL33)),"")</f>
        <v>2</v>
      </c>
      <c r="UG73" s="321" t="str">
        <f t="shared" ca="1" si="18478"/>
        <v>Romania</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f t="shared" ca="1" si="18485"/>
        <v>1</v>
      </c>
      <c r="UO73" s="321">
        <f t="shared" ref="UO73" ca="1" si="18797">IF(UG73&lt;&gt;"",VLOOKUP(UG73,ST4:SZ40,7,FALSE),"")</f>
        <v>999</v>
      </c>
      <c r="UP73" s="321">
        <f t="shared" ref="UP73" ca="1" si="18798">IF(UG73&lt;&gt;"",VLOOKUP(UG73,ST4:SZ40,5,FALSE),"")</f>
        <v>2</v>
      </c>
      <c r="UQ73" s="321">
        <f t="shared" ref="UQ73" ca="1" si="18799">IF(UG73&lt;&gt;"",VLOOKUP(UG73,ST4:TB40,9,FALSE),"")</f>
        <v>46</v>
      </c>
      <c r="UR73" s="321">
        <f t="shared" ca="1" si="18489"/>
        <v>1</v>
      </c>
      <c r="US73" s="321">
        <f t="shared" ref="US73" ca="1" si="18800">IF(UG73&lt;&gt;"",RANK(UR73,UR71:UR74),"")</f>
        <v>1</v>
      </c>
      <c r="UT73" s="321">
        <f t="shared" ref="UT73" ca="1" si="18801">IF(UG73&lt;&gt;"",SUMPRODUCT((UR71:UR74=UR73)*(UM71:UM74&gt;UM73)),"")</f>
        <v>0</v>
      </c>
      <c r="UU73" s="321">
        <f t="shared" ref="UU73" ca="1" si="18802">IF(UG73&lt;&gt;"",SUMPRODUCT((UR71:UR74=UR73)*(UM71:UM74=UM73)*(UK71:UK74&gt;UK73)),"")</f>
        <v>0</v>
      </c>
      <c r="UV73" s="321">
        <f t="shared" ref="UV73" ca="1" si="18803">IF(UG73&lt;&gt;"",SUMPRODUCT((UR71:UR74=UR73)*(UM71:UM74=UM73)*(UK71:UK74=UK73)*(UO71:UO74&gt;UO73)),"")</f>
        <v>0</v>
      </c>
      <c r="UW73" s="321">
        <f t="shared" ref="UW73" ca="1" si="18804">IF(UG73&lt;&gt;"",SUMPRODUCT((UR71:UR74=UR73)*(UM71:UM74=UM73)*(UK71:UK74=UK73)*(UO71:UO74=UO73)*(UP71:UP74&gt;UP73)),"")</f>
        <v>0</v>
      </c>
      <c r="UX73" s="321">
        <f t="shared" ref="UX73" ca="1" si="18805">IF(UG73&lt;&gt;"",SUMPRODUCT((UR71:UR74=UR73)*(UM71:UM74=UM73)*(UK71:UK74=UK73)*(UO71:UO74=UO73)*(UP71:UP74=UP73)*(UQ71:UQ74&gt;UQ73)),"")</f>
        <v>0</v>
      </c>
      <c r="UY73" s="321">
        <f t="shared" ref="UY73:UY74" ca="1" si="18806">IF(UG73&lt;&gt;"",SUM(US73:UX73)+1,"")</f>
        <v>2</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f ca="1">IF(FM34&lt;&gt;"",SUMPRODUCT((FT31:FT34=FT34)*(FS31:FS34=FS34)*(FQ31:FQ34=FQ34)*(FR31:FR34=FR34)),"")</f>
        <v>3</v>
      </c>
      <c r="FM74" s="321" t="str">
        <f t="shared" ca="1" si="18418"/>
        <v>Romania</v>
      </c>
      <c r="FN74" s="321">
        <f ca="1">IF(FM74&lt;&gt;"",SUMPRODUCT((HX3:HX42=FM74)*(IA3:IA42=FM75)*(IB3:IB42="W"))+SUMPRODUCT((HX3:HX42=FM74)*(IA3:IA42=FM72)*(IB3:IB42="W"))+SUMPRODUCT((HX3:HX42=FM74)*(IA3:IA42=FM73)*(IB3:IB42="W"))+SUMPRODUCT((HX3:HX42=FM75)*(IA3:IA42=FM74)*(IC3:IC42="W"))+SUMPRODUCT((HX3:HX42=FM72)*(IA3:IA42=FM74)*(IC3:IC42="W"))+SUMPRODUCT((HX3:HX42=FM73)*(IA3:IA42=FM74)*(IC3:IC42="W")),"")</f>
        <v>0</v>
      </c>
      <c r="FO74" s="321">
        <f ca="1">IF(FM74&lt;&gt;"",SUMPRODUCT((HX3:HX42=FM74)*(IA3:IA42=FM75)*(IB3:IB42="D"))+SUMPRODUCT((HX3:HX42=FM74)*(IA3:IA42=FM72)*(IB3:IB42="D"))+SUMPRODUCT((HX3:HX42=FM74)*(IA3:IA42=FM73)*(IB3:IB42="D"))+SUMPRODUCT((HX3:HX42=FM75)*(IA3:IA42=FM74)*(IB3:IB42="D"))+SUMPRODUCT((HX3:HX42=FM72)*(IA3:IA42=FM74)*(IB3:IB42="D"))+SUMPRODUCT((HX3:HX42=FM73)*(IA3:IA42=FM74)*(IB3:IB42="D")),"")</f>
        <v>2</v>
      </c>
      <c r="FP74" s="321">
        <f ca="1">IF(FM74&lt;&gt;"",SUMPRODUCT((HX3:HX42=FM74)*(IA3:IA42=FM75)*(IB3:IB42="L"))+SUMPRODUCT((HX3:HX42=FM74)*(IA3:IA42=FM72)*(IB3:IB42="L"))+SUMPRODUCT((HX3:HX42=FM74)*(IA3:IA42=FM73)*(IB3:IB42="L"))+SUMPRODUCT((HX3:HX42=FM75)*(IA3:IA42=FM74)*(IC3:IC42="L"))+SUMPRODUCT((HX3:HX42=FM72)*(IA3:IA42=FM74)*(IC3:IC42="L"))+SUMPRODUCT((HX3:HX42=FM73)*(IA3:IA42=FM74)*(IC3:IC42="L")),"")</f>
        <v>0</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1">
        <f ca="1">FQ74-FR74+1000</f>
        <v>1000</v>
      </c>
      <c r="FT74" s="321">
        <f t="shared" ca="1" si="18419"/>
        <v>2</v>
      </c>
      <c r="FU74" s="321">
        <f ca="1">IF(FM74&lt;&gt;"",VLOOKUP(FM74,DZ4:EF40,7,FALSE),"")</f>
        <v>996</v>
      </c>
      <c r="FV74" s="321">
        <f ca="1">IF(FM74&lt;&gt;"",VLOOKUP(FM74,DZ4:EF40,5,FALSE),"")</f>
        <v>3</v>
      </c>
      <c r="FW74" s="321">
        <f ca="1">IF(FM74&lt;&gt;"",VLOOKUP(FM74,DZ4:EH40,9,FALSE),"")</f>
        <v>46</v>
      </c>
      <c r="FX74" s="321">
        <f t="shared" ca="1" si="18420"/>
        <v>2</v>
      </c>
      <c r="FY74" s="321">
        <f ca="1">IF(FM74&lt;&gt;"",RANK(FX74,FX71:FX74),"")</f>
        <v>1</v>
      </c>
      <c r="FZ74" s="321">
        <f ca="1">IF(FM74&lt;&gt;"",SUMPRODUCT((FX71:FX74=FX74)*(FS71:FS74&gt;FS74)),"")</f>
        <v>0</v>
      </c>
      <c r="GA74" s="321">
        <f ca="1">IF(FM74&lt;&gt;"",SUMPRODUCT((FX71:FX74=FX74)*(FS71:FS74=FS74)*(FQ71:FQ74&gt;FQ74)),"")</f>
        <v>0</v>
      </c>
      <c r="GB74" s="321">
        <f ca="1">IF(FM74&lt;&gt;"",SUMPRODUCT((FX71:FX74=FX74)*(FS71:FS74=FS74)*(FQ71:FQ74=FQ74)*(FU71:FU74&gt;FU74)),"")</f>
        <v>2</v>
      </c>
      <c r="GC74" s="321">
        <f ca="1">IF(FM74&lt;&gt;"",SUMPRODUCT((FX71:FX74=FX74)*(FS71:FS74=FS74)*(FQ71:FQ74=FQ74)*(FU71:FU74=FU74)*(FV71:FV74&gt;FV74)),"")</f>
        <v>0</v>
      </c>
      <c r="GD74" s="321">
        <f ca="1">IF(FM74&lt;&gt;"",SUMPRODUCT((FX71:FX74=FX74)*(FS71:FS74=FS74)*(FQ71:FQ74=FQ74)*(FU71:FU74=FU74)*(FV71:FV74=FV74)*(FW71:FW74&gt;FW74)),"")</f>
        <v>0</v>
      </c>
      <c r="GE74" s="321">
        <f t="shared" ca="1" si="18743"/>
        <v>4</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2</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2</v>
      </c>
      <c r="ON77" s="321">
        <f t="shared" ref="ON77" ca="1" si="19312">IF(OO37&lt;&gt;"",SUMPRODUCT((OV37:OV40=OV37)*(OU37:OU40=OU37)*(OS37:OS40=OS37)*(OT37:OT40=OT37)),"")</f>
        <v>2</v>
      </c>
      <c r="OO77" s="321" t="str">
        <f t="shared" ref="OO77:OO80" ca="1" si="19313">IF(AND(ON77&lt;&gt;"",ON77&gt;1),OO37,"")</f>
        <v>Türkiye</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1">
        <f t="shared" ref="OU77:OU80" ca="1" si="19319">OS77-OT77+1000</f>
        <v>1000</v>
      </c>
      <c r="OV77" s="321">
        <f t="shared" ref="OV77:OV80" ca="1" si="19320">IF(OO77&lt;&gt;"",OP77*3+OQ77*1,"")</f>
        <v>1</v>
      </c>
      <c r="OW77" s="321">
        <f t="shared" ref="OW77" ca="1" si="19321">IF(OO77&lt;&gt;"",VLOOKUP(OO77,NV4:OB40,7,FALSE),"")</f>
        <v>1003</v>
      </c>
      <c r="OX77" s="321">
        <f t="shared" ref="OX77" ca="1" si="19322">IF(OO77&lt;&gt;"",VLOOKUP(OO77,NV4:OB40,5,FALSE),"")</f>
        <v>5</v>
      </c>
      <c r="OY77" s="321">
        <f t="shared" ref="OY77" ca="1" si="19323">IF(OO77&lt;&gt;"",VLOOKUP(OO77,NV4:OD40,9,FALSE),"")</f>
        <v>47</v>
      </c>
      <c r="OZ77" s="321">
        <f t="shared" ref="OZ77:OZ80" ca="1" si="19324">OV77</f>
        <v>1</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0</v>
      </c>
      <c r="PG77" s="321">
        <f t="shared" ref="PG77:PG80" ca="1" si="19331">IF(OO77&lt;&gt;"",SUM(PA77:PF77),"")</f>
        <v>1</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f t="shared" ref="YJ77" ca="1" si="19352">IF(YK37&lt;&gt;"",SUMPRODUCT((YR37:YR40=YR37)*(YQ37:YQ40=YQ37)*(YO37:YO40=YO37)*(YP37:YP40=YP37)),"")</f>
        <v>2</v>
      </c>
      <c r="YK77" s="321" t="str">
        <f t="shared" ref="YK77:YK80" ca="1" si="19353">IF(AND(YJ77&lt;&gt;"",YJ77&gt;1),YK37,"")</f>
        <v>Türkiye</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1">
        <f t="shared" ref="YQ77:YQ80" ca="1" si="19359">YO77-YP77+1000</f>
        <v>1000</v>
      </c>
      <c r="YR77" s="321">
        <f t="shared" ref="YR77:YR80" ca="1" si="19360">IF(YK77&lt;&gt;"",YL77*3+YM77*1,"")</f>
        <v>1</v>
      </c>
      <c r="YS77" s="321">
        <f t="shared" ref="YS77" ca="1" si="19361">IF(YK77&lt;&gt;"",VLOOKUP(YK77,XR4:XX40,7,FALSE),"")</f>
        <v>1003</v>
      </c>
      <c r="YT77" s="321">
        <f t="shared" ref="YT77" ca="1" si="19362">IF(YK77&lt;&gt;"",VLOOKUP(YK77,XR4:XX40,5,FALSE),"")</f>
        <v>6</v>
      </c>
      <c r="YU77" s="321">
        <f t="shared" ref="YU77" ca="1" si="19363">IF(YK77&lt;&gt;"",VLOOKUP(YK77,XR4:XZ40,9,FALSE),"")</f>
        <v>47</v>
      </c>
      <c r="YV77" s="321">
        <f t="shared" ref="YV77:YV80" ca="1" si="19364">YR77</f>
        <v>1</v>
      </c>
      <c r="YW77" s="321">
        <f t="shared" ref="YW77" ca="1" si="19365">IF(YK77&lt;&gt;"",RANK(YV77,YV77:YV80),"")</f>
        <v>1</v>
      </c>
      <c r="YX77" s="321">
        <f t="shared" ref="YX77" ca="1" si="19366">IF(YK77&lt;&gt;"",SUMPRODUCT((YV77:YV80=YV77)*(YQ77:YQ80&gt;YQ77)),"")</f>
        <v>0</v>
      </c>
      <c r="YY77" s="321">
        <f t="shared" ref="YY77" ca="1" si="19367">IF(YK77&lt;&gt;"",SUMPRODUCT((YV77:YV80=YV77)*(YQ77:YQ80=YQ77)*(YO77:YO80&gt;YO77)),"")</f>
        <v>0</v>
      </c>
      <c r="YZ77" s="321">
        <f t="shared" ref="YZ77" ca="1" si="19368">IF(YK77&lt;&gt;"",SUMPRODUCT((YV77:YV80=YV77)*(YQ77:YQ80=YQ77)*(YO77:YO80=YO77)*(YS77:YS80&gt;YS77)),"")</f>
        <v>1</v>
      </c>
      <c r="ZA77" s="321">
        <f t="shared" ref="ZA77" ca="1" si="19369">IF(YK77&lt;&gt;"",SUMPRODUCT((YV77:YV80=YV77)*(YQ77:YQ80=YQ77)*(YO77:YO80=YO77)*(YS77:YS80=YS77)*(YT77:YT80&gt;YT77)),"")</f>
        <v>0</v>
      </c>
      <c r="ZB77" s="321">
        <f t="shared" ref="ZB77" ca="1" si="19370">IF(YK77&lt;&gt;"",SUMPRODUCT((YV77:YV80=YV77)*(YQ77:YQ80=YQ77)*(YO77:YO80=YO77)*(YS77:YS80=YS77)*(YT77:YT80=YT77)*(YU77:YU80&gt;YU77)),"")</f>
        <v>0</v>
      </c>
      <c r="ZC77" s="321">
        <f t="shared" ref="ZC77:ZC80" ca="1" si="19371">IF(YK77&lt;&gt;"",SUM(YW77:ZB77),"")</f>
        <v>2</v>
      </c>
      <c r="ACW77" s="321">
        <f ca="1">SUMPRODUCT((ACW37:ACW40=ACW37)*(ACV37:ACV40=ACV37)*(ACT37:ACT40&gt;ACT37))+1</f>
        <v>1</v>
      </c>
      <c r="ADH77" s="321" t="str">
        <f t="shared" ref="ADH77" ca="1" si="19372">IF(ADI37&lt;&gt;"",SUMPRODUCT((ADP37:ADP40=ADP37)*(ADO37:ADO40=ADO37)*(ADM37:ADM40=ADM37)*(ADN37:ADN40=ADN37)),"")</f>
        <v/>
      </c>
      <c r="ADI77" s="321" t="str">
        <f t="shared" ref="ADI77:ADI80" ca="1" si="19373">IF(AND(ADH77&lt;&gt;"",ADH77&gt;1),ADI37,"")</f>
        <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t="str">
        <f t="shared" ref="ADP77:ADP80" ca="1" si="19380">IF(ADI77&lt;&gt;"",ADJ77*3+ADK77*1,"")</f>
        <v/>
      </c>
      <c r="ADQ77" s="321" t="str">
        <f t="shared" ref="ADQ77" ca="1" si="19381">IF(ADI77&lt;&gt;"",VLOOKUP(ADI77,ACP4:ACV40,7,FALSE),"")</f>
        <v/>
      </c>
      <c r="ADR77" s="321" t="str">
        <f t="shared" ref="ADR77" ca="1" si="19382">IF(ADI77&lt;&gt;"",VLOOKUP(ADI77,ACP4:ACV40,5,FALSE),"")</f>
        <v/>
      </c>
      <c r="ADS77" s="321" t="str">
        <f t="shared" ref="ADS77" ca="1" si="19383">IF(ADI77&lt;&gt;"",VLOOKUP(ADI77,ACP4:ACX40,9,FALSE),"")</f>
        <v/>
      </c>
      <c r="ADT77" s="321" t="str">
        <f t="shared" ref="ADT77:ADT80" ca="1" si="19384">ADP77</f>
        <v/>
      </c>
      <c r="ADU77" s="321" t="str">
        <f t="shared" ref="ADU77" ca="1" si="19385">IF(ADI77&lt;&gt;"",RANK(ADT77,ADT77:ADT80),"")</f>
        <v/>
      </c>
      <c r="ADV77" s="321" t="str">
        <f t="shared" ref="ADV77" ca="1" si="19386">IF(ADI77&lt;&gt;"",SUMPRODUCT((ADT77:ADT80=ADT77)*(ADO77:ADO80&gt;ADO77)),"")</f>
        <v/>
      </c>
      <c r="ADW77" s="321" t="str">
        <f t="shared" ref="ADW77" ca="1" si="19387">IF(ADI77&lt;&gt;"",SUMPRODUCT((ADT77:ADT80=ADT77)*(ADO77:ADO80=ADO77)*(ADM77:ADM80&gt;ADM77)),"")</f>
        <v/>
      </c>
      <c r="ADX77" s="321" t="str">
        <f t="shared" ref="ADX77" ca="1" si="19388">IF(ADI77&lt;&gt;"",SUMPRODUCT((ADT77:ADT80=ADT77)*(ADO77:ADO80=ADO77)*(ADM77:ADM80=ADM77)*(ADQ77:ADQ80&gt;ADQ77)),"")</f>
        <v/>
      </c>
      <c r="ADY77" s="321" t="str">
        <f t="shared" ref="ADY77" ca="1" si="19389">IF(ADI77&lt;&gt;"",SUMPRODUCT((ADT77:ADT80=ADT77)*(ADO77:ADO80=ADO77)*(ADM77:ADM80=ADM77)*(ADQ77:ADQ80=ADQ77)*(ADR77:ADR80&gt;ADR77)),"")</f>
        <v/>
      </c>
      <c r="ADZ77" s="321" t="str">
        <f t="shared" ref="ADZ77" ca="1" si="19390">IF(ADI77&lt;&gt;"",SUMPRODUCT((ADT77:ADT80=ADT77)*(ADO77:ADO80=ADO77)*(ADM77:ADM80=ADM77)*(ADQ77:ADQ80=ADQ77)*(ADR77:ADR80=ADR77)*(ADS77:ADS80&gt;ADS77)),"")</f>
        <v/>
      </c>
      <c r="AEA77" s="321" t="str">
        <f t="shared" ref="AEA77:AEA80" ca="1" si="19391">IF(ADI77&lt;&gt;"",SUM(ADU77:ADZ77),"")</f>
        <v/>
      </c>
      <c r="AHU77" s="321">
        <f ca="1">SUMPRODUCT((AHU37:AHU40=AHU37)*(AHT37:AHT40=AHT37)*(AHR37:AHR40&gt;AHR37))+1</f>
        <v>1</v>
      </c>
      <c r="AIF77" s="321">
        <f t="shared" ref="AIF77" ca="1" si="19392">IF(AIG37&lt;&gt;"",SUMPRODUCT((AIN37:AIN40=AIN37)*(AIM37:AIM40=AIM37)*(AIK37:AIK40=AIK37)*(AIL37:AIL40=AIL37)),"")</f>
        <v>2</v>
      </c>
      <c r="AIG77" s="321" t="str">
        <f t="shared" ref="AIG77:AIG80" ca="1" si="19393">IF(AND(AIF77&lt;&gt;"",AIF77&gt;1),AIG37,"")</f>
        <v>Türkiye</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1">
        <f t="shared" ref="AIM77:AIM80" ca="1" si="19399">AIK77-AIL77+1000</f>
        <v>1000</v>
      </c>
      <c r="AIN77" s="321">
        <f t="shared" ref="AIN77:AIN80" ca="1" si="19400">IF(AIG77&lt;&gt;"",AIH77*3+AII77*1,"")</f>
        <v>1</v>
      </c>
      <c r="AIO77" s="321">
        <f t="shared" ref="AIO77" ca="1" si="19401">IF(AIG77&lt;&gt;"",VLOOKUP(AIG77,AHN4:AHT40,7,FALSE),"")</f>
        <v>1004</v>
      </c>
      <c r="AIP77" s="321">
        <f t="shared" ref="AIP77" ca="1" si="19402">IF(AIG77&lt;&gt;"",VLOOKUP(AIG77,AHN4:AHT40,5,FALSE),"")</f>
        <v>7</v>
      </c>
      <c r="AIQ77" s="321">
        <f t="shared" ref="AIQ77" ca="1" si="19403">IF(AIG77&lt;&gt;"",VLOOKUP(AIG77,AHN4:AHV40,9,FALSE),"")</f>
        <v>47</v>
      </c>
      <c r="AIR77" s="321">
        <f t="shared" ref="AIR77:AIR80" ca="1" si="19404">AIN77</f>
        <v>1</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1</v>
      </c>
      <c r="AIY77" s="321">
        <f t="shared" ref="AIY77:AIY80" ca="1" si="19411">IF(AIG77&lt;&gt;"",SUM(AIS77:AIX77),"")</f>
        <v>2</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1">
        <f ca="1">FQ78-FR78+1000</f>
        <v>1000</v>
      </c>
      <c r="FT78" s="321">
        <f t="shared" ref="FT78:FT80" ca="1" si="19502">IF(FM78&lt;&gt;"",FN78*3+FO78*1,"")</f>
        <v>1</v>
      </c>
      <c r="FU78" s="321">
        <f ca="1">IF(FM78&lt;&gt;"",VLOOKUP(FM78,DZ4:EF40,7,FALSE),"")</f>
        <v>999</v>
      </c>
      <c r="FV78" s="321">
        <f ca="1">IF(FM78&lt;&gt;"",VLOOKUP(FM78,DZ4:EF40,5,FALSE),"")</f>
        <v>5</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1</v>
      </c>
      <c r="GC78" s="321">
        <f ca="1">IF(FM78&lt;&gt;"",SUMPRODUCT((FX77:FX80=FX78)*(FS77:FS80=FS78)*(FQ77:FQ80=FQ78)*(FU77:FU80=FU78)*(FV77:FV80&gt;FV78)),"")</f>
        <v>0</v>
      </c>
      <c r="GD78" s="321">
        <f ca="1">IF(FM78&lt;&gt;"",SUMPRODUCT((FX77:FX80=FX78)*(FS77:FS80=FS78)*(FQ77:FQ80=FQ78)*(FU77:FU80=FU78)*(FV77:FV80=FV78)*(FW77:FW80&gt;FW78)),"")</f>
        <v>0</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2</v>
      </c>
      <c r="OO78" s="321" t="str">
        <f t="shared" ca="1" si="19313"/>
        <v>Portugal</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1">
        <f t="shared" ca="1" si="19319"/>
        <v>1000</v>
      </c>
      <c r="OV78" s="321">
        <f t="shared" ca="1" si="19320"/>
        <v>1</v>
      </c>
      <c r="OW78" s="321">
        <f t="shared" ref="OW78" ca="1" si="19516">IF(OO78&lt;&gt;"",VLOOKUP(OO78,NV4:OB40,7,FALSE),"")</f>
        <v>1003</v>
      </c>
      <c r="OX78" s="321">
        <f t="shared" ref="OX78" ca="1" si="19517">IF(OO78&lt;&gt;"",VLOOKUP(OO78,NV4:OB40,5,FALSE),"")</f>
        <v>4</v>
      </c>
      <c r="OY78" s="321">
        <f t="shared" ref="OY78" ca="1" si="19518">IF(OO78&lt;&gt;"",VLOOKUP(OO78,NV4:OD40,9,FALSE),"")</f>
        <v>53</v>
      </c>
      <c r="OZ78" s="321">
        <f t="shared" ca="1" si="19324"/>
        <v>1</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1</v>
      </c>
      <c r="PF78" s="321">
        <f t="shared" ref="PF78" ca="1" si="19524">IF(OO78&lt;&gt;"",SUMPRODUCT((OZ77:OZ80=OZ78)*(OU77:OU80=OU78)*(OS77:OS80=OS78)*(OW77:OW80=OW78)*(OX77:OX80=OX78)*(OY77:OY80&gt;OY78)),"")</f>
        <v>0</v>
      </c>
      <c r="PG78" s="321">
        <f t="shared" ca="1" si="19331"/>
        <v>2</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f t="shared" ref="YJ78" ca="1" si="19580">IF(YK38&lt;&gt;"",SUMPRODUCT((YR37:YR40=YR38)*(YQ37:YQ40=YQ38)*(YO37:YO40=YO38)*(YP37:YP40=YP38)),"")</f>
        <v>2</v>
      </c>
      <c r="YK78" s="321" t="str">
        <f t="shared" ca="1" si="19353"/>
        <v>Portugal</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1">
        <f t="shared" ca="1" si="19359"/>
        <v>1000</v>
      </c>
      <c r="YR78" s="321">
        <f t="shared" ca="1" si="19360"/>
        <v>1</v>
      </c>
      <c r="YS78" s="321">
        <f t="shared" ref="YS78" ca="1" si="19586">IF(YK78&lt;&gt;"",VLOOKUP(YK78,XR4:XX40,7,FALSE),"")</f>
        <v>1006</v>
      </c>
      <c r="YT78" s="321">
        <f t="shared" ref="YT78" ca="1" si="19587">IF(YK78&lt;&gt;"",VLOOKUP(YK78,XR4:XX40,5,FALSE),"")</f>
        <v>9</v>
      </c>
      <c r="YU78" s="321">
        <f t="shared" ref="YU78" ca="1" si="19588">IF(YK78&lt;&gt;"",VLOOKUP(YK78,XR4:XZ40,9,FALSE),"")</f>
        <v>53</v>
      </c>
      <c r="YV78" s="321">
        <f t="shared" ca="1" si="19364"/>
        <v>1</v>
      </c>
      <c r="YW78" s="321">
        <f t="shared" ref="YW78" ca="1" si="19589">IF(YK78&lt;&gt;"",RANK(YV78,YV77:YV80),"")</f>
        <v>1</v>
      </c>
      <c r="YX78" s="321">
        <f t="shared" ref="YX78" ca="1" si="19590">IF(YK78&lt;&gt;"",SUMPRODUCT((YV77:YV80=YV78)*(YQ77:YQ80&gt;YQ78)),"")</f>
        <v>0</v>
      </c>
      <c r="YY78" s="321">
        <f t="shared" ref="YY78" ca="1" si="19591">IF(YK78&lt;&gt;"",SUMPRODUCT((YV77:YV80=YV78)*(YQ77:YQ80=YQ78)*(YO77:YO80&gt;YO78)),"")</f>
        <v>0</v>
      </c>
      <c r="YZ78" s="321">
        <f t="shared" ref="YZ78" ca="1" si="19592">IF(YK78&lt;&gt;"",SUMPRODUCT((YV77:YV80=YV78)*(YQ77:YQ80=YQ78)*(YO77:YO80=YO78)*(YS77:YS80&gt;YS78)),"")</f>
        <v>0</v>
      </c>
      <c r="ZA78" s="321">
        <f t="shared" ref="ZA78" ca="1" si="19593">IF(YK78&lt;&gt;"",SUMPRODUCT((YV77:YV80=YV78)*(YQ77:YQ80=YQ78)*(YO77:YO80=YO78)*(YS77:YS80=YS78)*(YT77:YT80&gt;YT78)),"")</f>
        <v>0</v>
      </c>
      <c r="ZB78" s="321">
        <f t="shared" ref="ZB78" ca="1" si="19594">IF(YK78&lt;&gt;"",SUMPRODUCT((YV77:YV80=YV78)*(YQ77:YQ80=YQ78)*(YO77:YO80=YO78)*(YS77:YS80=YS78)*(YT77:YT80=YT78)*(YU77:YU80&gt;YU78)),"")</f>
        <v>0</v>
      </c>
      <c r="ZC78" s="321">
        <f t="shared" ca="1" si="19371"/>
        <v>1</v>
      </c>
      <c r="ZD78" s="321" t="str">
        <f t="shared" ref="ZD78" ca="1" si="19595">IF(ZE38&lt;&gt;"",SUMPRODUCT((ZL37:ZL40=ZL38)*(ZK37:ZK40=ZK38)*(ZI37:ZI40=ZI38)*(ZJ37:ZJ40=ZJ38)),"")</f>
        <v/>
      </c>
      <c r="ZE78" s="321" t="str">
        <f t="shared" ref="ZE78:ZE80" ca="1" si="19596">IF(AND(ZD78&lt;&gt;"",ZD78&gt;1),ZE38,"")</f>
        <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1">
        <f t="shared" ref="ZK78:ZK80" ca="1" si="19602">ZI78-ZJ78+1000</f>
        <v>1000</v>
      </c>
      <c r="ZL78" s="321" t="str">
        <f t="shared" ref="ZL78:ZL80" ca="1" si="19603">IF(ZE78&lt;&gt;"",ZF78*3+ZG78*1,"")</f>
        <v/>
      </c>
      <c r="ZM78" s="321" t="str">
        <f t="shared" ref="ZM78" ca="1" si="19604">IF(ZE78&lt;&gt;"",VLOOKUP(ZE78,XR4:XX40,7,FALSE),"")</f>
        <v/>
      </c>
      <c r="ZN78" s="321" t="str">
        <f t="shared" ref="ZN78" ca="1" si="19605">IF(ZE78&lt;&gt;"",VLOOKUP(ZE78,XR4:XX40,5,FALSE),"")</f>
        <v/>
      </c>
      <c r="ZO78" s="321" t="str">
        <f t="shared" ref="ZO78" ca="1" si="19606">IF(ZE78&lt;&gt;"",VLOOKUP(ZE78,XR4:XZ40,9,FALSE),"")</f>
        <v/>
      </c>
      <c r="ZP78" s="321" t="str">
        <f t="shared" ref="ZP78:ZP80" ca="1" si="19607">ZL78</f>
        <v/>
      </c>
      <c r="ZQ78" s="321" t="str">
        <f t="shared" ref="ZQ78" ca="1" si="19608">IF(ZE78&lt;&gt;"",RANK(ZP78,ZP77:ZP80),"")</f>
        <v/>
      </c>
      <c r="ZR78" s="321" t="str">
        <f t="shared" ref="ZR78" ca="1" si="19609">IF(ZE78&lt;&gt;"",SUMPRODUCT((ZP77:ZP80=ZP78)*(ZK77:ZK80&gt;ZK78)),"")</f>
        <v/>
      </c>
      <c r="ZS78" s="321" t="str">
        <f t="shared" ref="ZS78" ca="1" si="19610">IF(ZE78&lt;&gt;"",SUMPRODUCT((ZP77:ZP80=ZP78)*(ZK77:ZK80=ZK78)*(ZI77:ZI80&gt;ZI78)),"")</f>
        <v/>
      </c>
      <c r="ZT78" s="321" t="str">
        <f t="shared" ref="ZT78" ca="1" si="19611">IF(ZE78&lt;&gt;"",SUMPRODUCT((ZP77:ZP80=ZP78)*(ZK77:ZK80=ZK78)*(ZI77:ZI80=ZI78)*(ZM77:ZM80&gt;ZM78)),"")</f>
        <v/>
      </c>
      <c r="ZU78" s="321" t="str">
        <f t="shared" ref="ZU78" ca="1" si="19612">IF(ZE78&lt;&gt;"",SUMPRODUCT((ZP77:ZP80=ZP78)*(ZK77:ZK80=ZK78)*(ZI77:ZI80=ZI78)*(ZM77:ZM80=ZM78)*(ZN77:ZN80&gt;ZN78)),"")</f>
        <v/>
      </c>
      <c r="ZV78" s="321" t="str">
        <f t="shared" ref="ZV78" ca="1" si="19613">IF(ZE78&lt;&gt;"",SUMPRODUCT((ZP77:ZP80=ZP78)*(ZK77:ZK80=ZK78)*(ZI77:ZI80=ZI78)*(ZM77:ZM80=ZM78)*(ZN77:ZN80=ZN78)*(ZO77:ZO80&gt;ZO78)),"")</f>
        <v/>
      </c>
      <c r="ZW78" s="321" t="str">
        <f t="shared" ref="ZW78" ca="1" si="19614">IF(ZE78&lt;&gt;"",SUM(ZQ78:ZV78)+1,"")</f>
        <v/>
      </c>
      <c r="ACW78" s="321">
        <f ca="1">SUMPRODUCT((ACW37:ACW40=ACW38)*(ACV37:ACV40=ACV38)*(ACT37:ACT40&gt;ACT38))+1</f>
        <v>1</v>
      </c>
      <c r="ADH78" s="321" t="str">
        <f t="shared" ref="ADH78" ca="1" si="19615">IF(ADI38&lt;&gt;"",SUMPRODUCT((ADP37:ADP40=ADP38)*(ADO37:ADO40=ADO38)*(ADM37:ADM40=ADM38)*(ADN37:ADN40=ADN38)),"")</f>
        <v/>
      </c>
      <c r="ADI78" s="321" t="str">
        <f t="shared" ca="1" si="19373"/>
        <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t="str">
        <f t="shared" ca="1" si="19380"/>
        <v/>
      </c>
      <c r="ADQ78" s="321" t="str">
        <f t="shared" ref="ADQ78" ca="1" si="19621">IF(ADI78&lt;&gt;"",VLOOKUP(ADI78,ACP4:ACV40,7,FALSE),"")</f>
        <v/>
      </c>
      <c r="ADR78" s="321" t="str">
        <f t="shared" ref="ADR78" ca="1" si="19622">IF(ADI78&lt;&gt;"",VLOOKUP(ADI78,ACP4:ACV40,5,FALSE),"")</f>
        <v/>
      </c>
      <c r="ADS78" s="321" t="str">
        <f t="shared" ref="ADS78" ca="1" si="19623">IF(ADI78&lt;&gt;"",VLOOKUP(ADI78,ACP4:ACX40,9,FALSE),"")</f>
        <v/>
      </c>
      <c r="ADT78" s="321" t="str">
        <f t="shared" ca="1" si="19384"/>
        <v/>
      </c>
      <c r="ADU78" s="321" t="str">
        <f t="shared" ref="ADU78" ca="1" si="19624">IF(ADI78&lt;&gt;"",RANK(ADT78,ADT77:ADT80),"")</f>
        <v/>
      </c>
      <c r="ADV78" s="321" t="str">
        <f t="shared" ref="ADV78" ca="1" si="19625">IF(ADI78&lt;&gt;"",SUMPRODUCT((ADT77:ADT80=ADT78)*(ADO77:ADO80&gt;ADO78)),"")</f>
        <v/>
      </c>
      <c r="ADW78" s="321" t="str">
        <f t="shared" ref="ADW78" ca="1" si="19626">IF(ADI78&lt;&gt;"",SUMPRODUCT((ADT77:ADT80=ADT78)*(ADO77:ADO80=ADO78)*(ADM77:ADM80&gt;ADM78)),"")</f>
        <v/>
      </c>
      <c r="ADX78" s="321" t="str">
        <f t="shared" ref="ADX78" ca="1" si="19627">IF(ADI78&lt;&gt;"",SUMPRODUCT((ADT77:ADT80=ADT78)*(ADO77:ADO80=ADO78)*(ADM77:ADM80=ADM78)*(ADQ77:ADQ80&gt;ADQ78)),"")</f>
        <v/>
      </c>
      <c r="ADY78" s="321" t="str">
        <f t="shared" ref="ADY78" ca="1" si="19628">IF(ADI78&lt;&gt;"",SUMPRODUCT((ADT77:ADT80=ADT78)*(ADO77:ADO80=ADO78)*(ADM77:ADM80=ADM78)*(ADQ77:ADQ80=ADQ78)*(ADR77:ADR80&gt;ADR78)),"")</f>
        <v/>
      </c>
      <c r="ADZ78" s="321" t="str">
        <f t="shared" ref="ADZ78" ca="1" si="19629">IF(ADI78&lt;&gt;"",SUMPRODUCT((ADT77:ADT80=ADT78)*(ADO77:ADO80=ADO78)*(ADM77:ADM80=ADM78)*(ADQ77:ADQ80=ADQ78)*(ADR77:ADR80=ADR78)*(ADS77:ADS80&gt;ADS78)),"")</f>
        <v/>
      </c>
      <c r="AEA78" s="321" t="str">
        <f t="shared" ca="1" si="19391"/>
        <v/>
      </c>
      <c r="AEB78" s="321">
        <f t="shared" ref="AEB78" ca="1" si="19630">IF(AEC38&lt;&gt;"",SUMPRODUCT((AEJ37:AEJ40=AEJ38)*(AEI37:AEI40=AEI38)*(AEG37:AEG40=AEG38)*(AEH37:AEH40=AEH38)),"")</f>
        <v>2</v>
      </c>
      <c r="AEC78" s="321" t="str">
        <f t="shared" ref="AEC78:AEC80" ca="1" si="19631">IF(AND(AEB78&lt;&gt;"",AEB78&gt;1),AEC38,"")</f>
        <v>Czechia</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1">
        <f t="shared" ref="AEI78:AEI80" ca="1" si="19637">AEG78-AEH78+1000</f>
        <v>1000</v>
      </c>
      <c r="AEJ78" s="321">
        <f t="shared" ref="AEJ78:AEJ80" ca="1" si="19638">IF(AEC78&lt;&gt;"",AED78*3+AEE78*1,"")</f>
        <v>1</v>
      </c>
      <c r="AEK78" s="321">
        <f t="shared" ref="AEK78" ca="1" si="19639">IF(AEC78&lt;&gt;"",VLOOKUP(AEC78,ACP4:ACV40,7,FALSE),"")</f>
        <v>1001</v>
      </c>
      <c r="AEL78" s="321">
        <f t="shared" ref="AEL78" ca="1" si="19640">IF(AEC78&lt;&gt;"",VLOOKUP(AEC78,ACP4:ACV40,5,FALSE),"")</f>
        <v>6</v>
      </c>
      <c r="AEM78" s="321">
        <f t="shared" ref="AEM78" ca="1" si="19641">IF(AEC78&lt;&gt;"",VLOOKUP(AEC78,ACP4:ACX40,9,FALSE),"")</f>
        <v>37</v>
      </c>
      <c r="AEN78" s="321">
        <f t="shared" ref="AEN78:AEN80" ca="1" si="19642">AEJ78</f>
        <v>1</v>
      </c>
      <c r="AEO78" s="321">
        <f t="shared" ref="AEO78" ca="1" si="19643">IF(AEC78&lt;&gt;"",RANK(AEN78,AEN77:AEN80),"")</f>
        <v>1</v>
      </c>
      <c r="AEP78" s="321">
        <f t="shared" ref="AEP78" ca="1" si="19644">IF(AEC78&lt;&gt;"",SUMPRODUCT((AEN77:AEN80=AEN78)*(AEI77:AEI80&gt;AEI78)),"")</f>
        <v>0</v>
      </c>
      <c r="AEQ78" s="321">
        <f t="shared" ref="AEQ78" ca="1" si="19645">IF(AEC78&lt;&gt;"",SUMPRODUCT((AEN77:AEN80=AEN78)*(AEI77:AEI80=AEI78)*(AEG77:AEG80&gt;AEG78)),"")</f>
        <v>0</v>
      </c>
      <c r="AER78" s="321">
        <f t="shared" ref="AER78" ca="1" si="19646">IF(AEC78&lt;&gt;"",SUMPRODUCT((AEN77:AEN80=AEN78)*(AEI77:AEI80=AEI78)*(AEG77:AEG80=AEG78)*(AEK77:AEK80&gt;AEK78)),"")</f>
        <v>0</v>
      </c>
      <c r="AES78" s="321">
        <f t="shared" ref="AES78" ca="1" si="19647">IF(AEC78&lt;&gt;"",SUMPRODUCT((AEN77:AEN80=AEN78)*(AEI77:AEI80=AEI78)*(AEG77:AEG80=AEG78)*(AEK77:AEK80=AEK78)*(AEL77:AEL80&gt;AEL78)),"")</f>
        <v>0</v>
      </c>
      <c r="AET78" s="321">
        <f t="shared" ref="AET78" ca="1" si="19648">IF(AEC78&lt;&gt;"",SUMPRODUCT((AEN77:AEN80=AEN78)*(AEI77:AEI80=AEI78)*(AEG77:AEG80=AEG78)*(AEK77:AEK80=AEK78)*(AEL77:AEL80=AEL78)*(AEM77:AEM80&gt;AEM78)),"")</f>
        <v>0</v>
      </c>
      <c r="AEU78" s="321">
        <f t="shared" ref="AEU78" ca="1" si="19649">IF(AEC78&lt;&gt;"",SUM(AEO78:AET78)+1,"")</f>
        <v>2</v>
      </c>
      <c r="AHU78" s="321">
        <f ca="1">SUMPRODUCT((AHU37:AHU40=AHU38)*(AHT37:AHT40=AHT38)*(AHR37:AHR40&gt;AHR38))+1</f>
        <v>1</v>
      </c>
      <c r="AIF78" s="321">
        <f t="shared" ref="AIF78" ca="1" si="19650">IF(AIG38&lt;&gt;"",SUMPRODUCT((AIN37:AIN40=AIN38)*(AIM37:AIM40=AIM38)*(AIK37:AIK40=AIK38)*(AIL37:AIL40=AIL38)),"")</f>
        <v>2</v>
      </c>
      <c r="AIG78" s="321" t="str">
        <f t="shared" ca="1" si="19393"/>
        <v>Portugal</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1">
        <f t="shared" ca="1" si="19399"/>
        <v>1000</v>
      </c>
      <c r="AIN78" s="321">
        <f t="shared" ca="1" si="19400"/>
        <v>1</v>
      </c>
      <c r="AIO78" s="321">
        <f t="shared" ref="AIO78" ca="1" si="19656">IF(AIG78&lt;&gt;"",VLOOKUP(AIG78,AHN4:AHT40,7,FALSE),"")</f>
        <v>1004</v>
      </c>
      <c r="AIP78" s="321">
        <f t="shared" ref="AIP78" ca="1" si="19657">IF(AIG78&lt;&gt;"",VLOOKUP(AIG78,AHN4:AHT40,5,FALSE),"")</f>
        <v>7</v>
      </c>
      <c r="AIQ78" s="321">
        <f t="shared" ref="AIQ78" ca="1" si="19658">IF(AIG78&lt;&gt;"",VLOOKUP(AIG78,AHN4:AHV40,9,FALSE),"")</f>
        <v>53</v>
      </c>
      <c r="AIR78" s="321">
        <f t="shared" ca="1" si="19404"/>
        <v>1</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0</v>
      </c>
      <c r="AIY78" s="321">
        <f t="shared" ca="1" si="19411"/>
        <v>1</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1">
        <f ca="1">FQ79-FR79+1000</f>
        <v>1000</v>
      </c>
      <c r="FT79" s="321">
        <f t="shared" ca="1" si="19502"/>
        <v>1</v>
      </c>
      <c r="FU79" s="321">
        <f ca="1">IF(FM79&lt;&gt;"",VLOOKUP(FM79,DZ4:EF40,7,FALSE),"")</f>
        <v>1003</v>
      </c>
      <c r="FV79" s="321">
        <f ca="1">IF(FM79&lt;&gt;"",VLOOKUP(FM79,DZ4:EF40,5,FALSE),"")</f>
        <v>8</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t="str">
        <f t="shared" ref="ZD79" ca="1" si="19905">IF(ZE39&lt;&gt;"",SUMPRODUCT((ZL37:ZL40=ZL39)*(ZK37:ZK40=ZK39)*(ZI37:ZI40=ZI39)*(ZJ37:ZJ40=ZJ39)),"")</f>
        <v/>
      </c>
      <c r="ZE79" s="321" t="str">
        <f t="shared" ca="1" si="19596"/>
        <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1">
        <f t="shared" ca="1" si="19602"/>
        <v>1000</v>
      </c>
      <c r="ZL79" s="321" t="str">
        <f t="shared" ca="1" si="19603"/>
        <v/>
      </c>
      <c r="ZM79" s="321" t="str">
        <f t="shared" ref="ZM79" ca="1" si="19911">IF(ZE79&lt;&gt;"",VLOOKUP(ZE79,XR4:XX40,7,FALSE),"")</f>
        <v/>
      </c>
      <c r="ZN79" s="321" t="str">
        <f t="shared" ref="ZN79" ca="1" si="19912">IF(ZE79&lt;&gt;"",VLOOKUP(ZE79,XR4:XX40,5,FALSE),"")</f>
        <v/>
      </c>
      <c r="ZO79" s="321" t="str">
        <f t="shared" ref="ZO79" ca="1" si="19913">IF(ZE79&lt;&gt;"",VLOOKUP(ZE79,XR4:XZ40,9,FALSE),"")</f>
        <v/>
      </c>
      <c r="ZP79" s="321" t="str">
        <f t="shared" ca="1" si="19607"/>
        <v/>
      </c>
      <c r="ZQ79" s="321" t="str">
        <f t="shared" ref="ZQ79" ca="1" si="19914">IF(ZE79&lt;&gt;"",RANK(ZP79,ZP77:ZP80),"")</f>
        <v/>
      </c>
      <c r="ZR79" s="321" t="str">
        <f t="shared" ref="ZR79" ca="1" si="19915">IF(ZE79&lt;&gt;"",SUMPRODUCT((ZP77:ZP80=ZP79)*(ZK77:ZK80&gt;ZK79)),"")</f>
        <v/>
      </c>
      <c r="ZS79" s="321" t="str">
        <f t="shared" ref="ZS79" ca="1" si="19916">IF(ZE79&lt;&gt;"",SUMPRODUCT((ZP77:ZP80=ZP79)*(ZK77:ZK80=ZK79)*(ZI77:ZI80&gt;ZI79)),"")</f>
        <v/>
      </c>
      <c r="ZT79" s="321" t="str">
        <f t="shared" ref="ZT79" ca="1" si="19917">IF(ZE79&lt;&gt;"",SUMPRODUCT((ZP77:ZP80=ZP79)*(ZK77:ZK80=ZK79)*(ZI77:ZI80=ZI79)*(ZM77:ZM80&gt;ZM79)),"")</f>
        <v/>
      </c>
      <c r="ZU79" s="321" t="str">
        <f t="shared" ref="ZU79" ca="1" si="19918">IF(ZE79&lt;&gt;"",SUMPRODUCT((ZP77:ZP80=ZP79)*(ZK77:ZK80=ZK79)*(ZI77:ZI80=ZI79)*(ZM77:ZM80=ZM79)*(ZN77:ZN80&gt;ZN79)),"")</f>
        <v/>
      </c>
      <c r="ZV79" s="321" t="str">
        <f t="shared" ref="ZV79" ca="1" si="19919">IF(ZE79&lt;&gt;"",SUMPRODUCT((ZP77:ZP80=ZP79)*(ZK77:ZK80=ZK79)*(ZI77:ZI80=ZI79)*(ZM77:ZM80=ZM79)*(ZN77:ZN80=ZN79)*(ZO77:ZO80&gt;ZO79)),"")</f>
        <v/>
      </c>
      <c r="ZW79" s="321" t="str">
        <f t="shared" ref="ZW79:ZW80" ca="1" si="19920">IF(ZE79&lt;&gt;"",SUM(ZQ79:ZV79)+1,"")</f>
        <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f t="shared" ref="AEB79" ca="1" si="19936">IF(AEC39&lt;&gt;"",SUMPRODUCT((AEJ37:AEJ40=AEJ39)*(AEI37:AEI40=AEI39)*(AEG37:AEG40=AEG39)*(AEH37:AEH40=AEH39)),"")</f>
        <v>2</v>
      </c>
      <c r="AEC79" s="321" t="str">
        <f t="shared" ca="1" si="19631"/>
        <v>Türkiye</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1">
        <f t="shared" ca="1" si="19637"/>
        <v>1000</v>
      </c>
      <c r="AEJ79" s="321">
        <f t="shared" ca="1" si="19638"/>
        <v>1</v>
      </c>
      <c r="AEK79" s="321">
        <f t="shared" ref="AEK79" ca="1" si="19942">IF(AEC79&lt;&gt;"",VLOOKUP(AEC79,ACP4:ACV40,7,FALSE),"")</f>
        <v>999</v>
      </c>
      <c r="AEL79" s="321">
        <f t="shared" ref="AEL79" ca="1" si="19943">IF(AEC79&lt;&gt;"",VLOOKUP(AEC79,ACP4:ACV40,5,FALSE),"")</f>
        <v>4</v>
      </c>
      <c r="AEM79" s="321">
        <f t="shared" ref="AEM79" ca="1" si="19944">IF(AEC79&lt;&gt;"",VLOOKUP(AEC79,ACP4:ACX40,9,FALSE),"")</f>
        <v>47</v>
      </c>
      <c r="AEN79" s="321">
        <f t="shared" ca="1" si="19642"/>
        <v>1</v>
      </c>
      <c r="AEO79" s="321">
        <f t="shared" ref="AEO79" ca="1" si="19945">IF(AEC79&lt;&gt;"",RANK(AEN79,AEN77:AEN80),"")</f>
        <v>1</v>
      </c>
      <c r="AEP79" s="321">
        <f t="shared" ref="AEP79" ca="1" si="19946">IF(AEC79&lt;&gt;"",SUMPRODUCT((AEN77:AEN80=AEN79)*(AEI77:AEI80&gt;AEI79)),"")</f>
        <v>0</v>
      </c>
      <c r="AEQ79" s="321">
        <f t="shared" ref="AEQ79" ca="1" si="19947">IF(AEC79&lt;&gt;"",SUMPRODUCT((AEN77:AEN80=AEN79)*(AEI77:AEI80=AEI79)*(AEG77:AEG80&gt;AEG79)),"")</f>
        <v>0</v>
      </c>
      <c r="AER79" s="321">
        <f t="shared" ref="AER79" ca="1" si="19948">IF(AEC79&lt;&gt;"",SUMPRODUCT((AEN77:AEN80=AEN79)*(AEI77:AEI80=AEI79)*(AEG77:AEG80=AEG79)*(AEK77:AEK80&gt;AEK79)),"")</f>
        <v>1</v>
      </c>
      <c r="AES79" s="321">
        <f t="shared" ref="AES79" ca="1" si="19949">IF(AEC79&lt;&gt;"",SUMPRODUCT((AEN77:AEN80=AEN79)*(AEI77:AEI80=AEI79)*(AEG77:AEG80=AEG79)*(AEK77:AEK80=AEK79)*(AEL77:AEL80&gt;AEL79)),"")</f>
        <v>0</v>
      </c>
      <c r="AET79" s="321">
        <f t="shared" ref="AET79" ca="1" si="19950">IF(AEC79&lt;&gt;"",SUMPRODUCT((AEN77:AEN80=AEN79)*(AEI77:AEI80=AEI79)*(AEG77:AEG80=AEG79)*(AEK77:AEK80=AEK79)*(AEL77:AEL80=AEL79)*(AEM77:AEM80&gt;AEM79)),"")</f>
        <v>0</v>
      </c>
      <c r="AEU79" s="321">
        <f t="shared" ref="AEU79:AEU80" ca="1" si="19951">IF(AEC79&lt;&gt;"",SUM(AEO79:AET79)+1,"")</f>
        <v>3</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baseColWidth="10" defaultColWidth="8.77734375" defaultRowHeight="14.4" x14ac:dyDescent="0.3"/>
  <cols>
    <col min="1" max="1" width="4.77734375" style="140" customWidth="1"/>
    <col min="2" max="5" width="10.77734375" style="140" customWidth="1"/>
    <col min="6" max="6" width="19.44140625" style="140" bestFit="1" customWidth="1"/>
    <col min="7" max="7" width="10.77734375" style="140" customWidth="1"/>
    <col min="8" max="8" width="8.77734375" style="139" customWidth="1"/>
    <col min="9" max="16384" width="8.77734375" style="139"/>
  </cols>
  <sheetData>
    <row r="1" spans="1:7" ht="6.45" customHeight="1" x14ac:dyDescent="0.3"/>
    <row r="2" spans="1:7" x14ac:dyDescent="0.3">
      <c r="A2" s="147" t="s">
        <v>372</v>
      </c>
    </row>
    <row r="3" spans="1:7" ht="4.8" customHeight="1" x14ac:dyDescent="0.3"/>
    <row r="4" spans="1:7" ht="3" customHeight="1" x14ac:dyDescent="0.3"/>
    <row r="5" spans="1:7" ht="6.45" customHeight="1" x14ac:dyDescent="0.3">
      <c r="B5" s="141"/>
      <c r="C5" s="141"/>
      <c r="D5" s="141"/>
      <c r="E5" s="141"/>
    </row>
    <row r="6" spans="1:7" ht="43.2" x14ac:dyDescent="0.25">
      <c r="A6" s="142" t="s">
        <v>67</v>
      </c>
      <c r="B6" s="143" t="s">
        <v>373</v>
      </c>
      <c r="C6" s="143" t="s">
        <v>374</v>
      </c>
      <c r="D6" s="143" t="s">
        <v>375</v>
      </c>
      <c r="E6" s="143" t="s">
        <v>376</v>
      </c>
      <c r="F6" s="142" t="s">
        <v>270</v>
      </c>
      <c r="G6" s="142" t="s">
        <v>376</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Magnus (TRAC)</v>
      </c>
      <c r="G7" s="146">
        <f ca="1">E7</f>
        <v>1</v>
      </c>
    </row>
    <row r="8" spans="1:7" x14ac:dyDescent="0.3">
      <c r="A8" s="144">
        <f>IF('Player Scoreboard'!C11&lt;&gt;"",'Player Scoreboard'!B11,"")</f>
        <v>2</v>
      </c>
      <c r="B8" s="144">
        <f ca="1">IF('Player Scoreboard'!C11&lt;&gt;"",RANK('Player Scoreboard'!D11,'Player Scoreboard'!D10:D19),"")</f>
        <v>7</v>
      </c>
      <c r="C8" s="144">
        <f ca="1">SUMPRODUCT((B7:B16=B8)*('Player Scoreboard'!H10:H19&gt;'Player Scoreboard'!H11))</f>
        <v>0</v>
      </c>
      <c r="D8" s="144">
        <f ca="1">SUMPRODUCT((B7:B16=B8)*(C7:C16=C8)*(A7:A16&lt;A8))</f>
        <v>0</v>
      </c>
      <c r="E8" s="144">
        <f t="shared" ref="E8:E16" ca="1" si="0">B8+C8+D8</f>
        <v>7</v>
      </c>
      <c r="F8" s="145" t="str">
        <f>'Player Scoreboard'!C11</f>
        <v>Steve (TRAC)</v>
      </c>
      <c r="G8" s="146">
        <f t="shared" ref="G8:G16" ca="1" si="1">E8</f>
        <v>7</v>
      </c>
    </row>
    <row r="9" spans="1:7" x14ac:dyDescent="0.3">
      <c r="A9" s="144">
        <f>IF('Player Scoreboard'!C12&lt;&gt;"",'Player Scoreboard'!B12,"")</f>
        <v>3</v>
      </c>
      <c r="B9" s="144">
        <f ca="1">IF('Player Scoreboard'!C12&lt;&gt;"",RANK('Player Scoreboard'!D12,'Player Scoreboard'!D10:D19),"")</f>
        <v>3</v>
      </c>
      <c r="C9" s="144">
        <f ca="1">SUMPRODUCT((B7:B16=B9)*('Player Scoreboard'!H10:H19&gt;'Player Scoreboard'!H12))</f>
        <v>0</v>
      </c>
      <c r="D9" s="144">
        <f ca="1">SUMPRODUCT((B7:B16=B9)*(C7:C16=C9)*(A7:A16&lt;A9))</f>
        <v>0</v>
      </c>
      <c r="E9" s="144">
        <f t="shared" ca="1" si="0"/>
        <v>3</v>
      </c>
      <c r="F9" s="145" t="str">
        <f>'Player Scoreboard'!C12</f>
        <v>Mateo (Virksomhet)</v>
      </c>
      <c r="G9" s="146">
        <f t="shared" ca="1" si="1"/>
        <v>3</v>
      </c>
    </row>
    <row r="10" spans="1:7" x14ac:dyDescent="0.3">
      <c r="A10" s="144">
        <f>IF('Player Scoreboard'!C13&lt;&gt;"",'Player Scoreboard'!B13,"")</f>
        <v>4</v>
      </c>
      <c r="B10" s="144">
        <f ca="1">IF('Player Scoreboard'!C13&lt;&gt;"",RANK('Player Scoreboard'!D13,'Player Scoreboard'!D10:D19),"")</f>
        <v>6</v>
      </c>
      <c r="C10" s="144">
        <f ca="1">SUMPRODUCT((B7:B16=B10)*('Player Scoreboard'!H10:H19&gt;'Player Scoreboard'!H13))</f>
        <v>0</v>
      </c>
      <c r="D10" s="144">
        <f ca="1">SUMPRODUCT((B7:B16=B10)*(C7:C16=C10)*(A7:A16&lt;A10))</f>
        <v>0</v>
      </c>
      <c r="E10" s="144">
        <f t="shared" ca="1" si="0"/>
        <v>6</v>
      </c>
      <c r="F10" s="145" t="str">
        <f>'Player Scoreboard'!C13</f>
        <v>Flemming (IFA)</v>
      </c>
      <c r="G10" s="146">
        <f t="shared" ca="1" si="1"/>
        <v>6</v>
      </c>
    </row>
    <row r="11" spans="1:7" x14ac:dyDescent="0.3">
      <c r="A11" s="144">
        <f>IF('Player Scoreboard'!C14&lt;&gt;"",'Player Scoreboard'!B14,"")</f>
        <v>5</v>
      </c>
      <c r="B11" s="144">
        <f ca="1">IF('Player Scoreboard'!C14&lt;&gt;"",RANK('Player Scoreboard'!D14,'Player Scoreboard'!D10:D19),"")</f>
        <v>5</v>
      </c>
      <c r="C11" s="144">
        <f ca="1">SUMPRODUCT((B7:B16=B11)*('Player Scoreboard'!H10:H19&gt;'Player Scoreboard'!H14))</f>
        <v>0</v>
      </c>
      <c r="D11" s="144">
        <f ca="1">SUMPRODUCT((B7:B16=B11)*(C7:C16=C11)*(A7:A16&lt;A11))</f>
        <v>0</v>
      </c>
      <c r="E11" s="144">
        <f t="shared" ca="1" si="0"/>
        <v>5</v>
      </c>
      <c r="F11" s="145" t="str">
        <f>'Player Scoreboard'!C14</f>
        <v>Stian (Virksomhet)</v>
      </c>
      <c r="G11" s="146">
        <f t="shared" ca="1" si="1"/>
        <v>5</v>
      </c>
    </row>
    <row r="12" spans="1:7" x14ac:dyDescent="0.3">
      <c r="A12" s="144">
        <f>IF('Player Scoreboard'!C15&lt;&gt;"",'Player Scoreboard'!B15,"")</f>
        <v>6</v>
      </c>
      <c r="B12" s="144">
        <f ca="1">IF('Player Scoreboard'!C15&lt;&gt;"",RANK('Player Scoreboard'!D15,'Player Scoreboard'!D10:D19),"")</f>
        <v>2</v>
      </c>
      <c r="C12" s="144">
        <f ca="1">SUMPRODUCT((B7:B16=B12)*('Player Scoreboard'!H10:H19&gt;'Player Scoreboard'!H15))</f>
        <v>0</v>
      </c>
      <c r="D12" s="144">
        <f ca="1">SUMPRODUCT((B7:B16=B12)*(C7:C16=C12)*(A7:A16&lt;A12))</f>
        <v>0</v>
      </c>
      <c r="E12" s="144">
        <f t="shared" ca="1" si="0"/>
        <v>2</v>
      </c>
      <c r="F12" s="145" t="str">
        <f>'Player Scoreboard'!C15</f>
        <v>Hanne Maren (TRAC)</v>
      </c>
      <c r="G12" s="146">
        <f t="shared" ca="1" si="1"/>
        <v>2</v>
      </c>
    </row>
    <row r="13" spans="1:7" x14ac:dyDescent="0.3">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0</v>
      </c>
      <c r="E13" s="144">
        <f t="shared" ca="1" si="0"/>
        <v>4</v>
      </c>
      <c r="F13" s="145" t="str">
        <f>'Player Scoreboard'!C16</f>
        <v>Kjell Tore (Too Little Too Late)</v>
      </c>
      <c r="G13" s="146">
        <f t="shared" ca="1" si="1"/>
        <v>4</v>
      </c>
    </row>
    <row r="14" spans="1:7" x14ac:dyDescent="0.3">
      <c r="A14" s="144" t="str">
        <f>IF('Player Scoreboard'!C17&lt;&gt;"",'Player Scoreboard'!B17,"")</f>
        <v/>
      </c>
      <c r="B14" s="144" t="str">
        <f>IF('Player Scoreboard'!C17&lt;&gt;"",RANK('Player Scoreboard'!D17,'Player Scoreboard'!D10:D19),"")</f>
        <v/>
      </c>
      <c r="C14" s="144">
        <f ca="1">SUMPRODUCT((B7:B16=B14)*('Player Scoreboard'!H10:H19&gt;'Player Scoreboard'!H17))</f>
        <v>0</v>
      </c>
      <c r="D14" s="144">
        <f ca="1">SUMPRODUCT((B7:B16=B14)*(C7:C16=C14)*(A7:A16&lt;A14))</f>
        <v>0</v>
      </c>
      <c r="E14" s="144" t="e">
        <f t="shared" ca="1" si="0"/>
        <v>#VALUE!</v>
      </c>
      <c r="F14" s="145" t="str">
        <f>'Player Scoreboard'!C17</f>
        <v/>
      </c>
      <c r="G14" s="146" t="e">
        <f t="shared" ca="1" si="1"/>
        <v>#VALUE!</v>
      </c>
    </row>
    <row r="15" spans="1:7" x14ac:dyDescent="0.3">
      <c r="A15" s="144" t="str">
        <f>IF('Player Scoreboard'!C18&lt;&gt;"",'Player Scoreboard'!B18,"")</f>
        <v/>
      </c>
      <c r="B15" s="144" t="str">
        <f>IF('Player Scoreboard'!C18&lt;&gt;"",RANK('Player Scoreboard'!D18,'Player Scoreboard'!D10:D19),"")</f>
        <v/>
      </c>
      <c r="C15" s="144">
        <f ca="1">SUMPRODUCT((B7:B16=B15)*('Player Scoreboard'!H10:H19&gt;'Player Scoreboard'!H18))</f>
        <v>0</v>
      </c>
      <c r="D15" s="144">
        <f ca="1">SUMPRODUCT((B7:B16=B15)*(C7:C16=C15)*(A7:A16&lt;A15))</f>
        <v>0</v>
      </c>
      <c r="E15" s="144" t="e">
        <f t="shared" ca="1" si="0"/>
        <v>#VALUE!</v>
      </c>
      <c r="F15" s="145" t="str">
        <f>'Player Scoreboard'!C18</f>
        <v/>
      </c>
      <c r="G15" s="146" t="e">
        <f t="shared" ca="1" si="1"/>
        <v>#VALUE!</v>
      </c>
    </row>
    <row r="16" spans="1:7" x14ac:dyDescent="0.3">
      <c r="A16" s="144" t="str">
        <f>IF('Player Scoreboard'!C19&lt;&gt;"",'Player Scoreboard'!B19,"")</f>
        <v/>
      </c>
      <c r="B16" s="144" t="str">
        <f>IF('Player Scoreboard'!C19&lt;&gt;"",RANK('Player Scoreboard'!D19,'Player Scoreboard'!D10:D19),"")</f>
        <v/>
      </c>
      <c r="C16" s="144">
        <f ca="1">SUMPRODUCT((B7:B16=B16)*('Player Scoreboard'!H10:H19&gt;'Player Scoreboard'!H19))</f>
        <v>0</v>
      </c>
      <c r="D16" s="144">
        <f ca="1">SUMPRODUCT((B7:B16=B16)*(C7:C16=C16)*(A7:A16&lt;A16))</f>
        <v>0</v>
      </c>
      <c r="E16" s="144" t="e">
        <f t="shared" ca="1" si="0"/>
        <v>#VALUE!</v>
      </c>
      <c r="F16" s="145" t="str">
        <f>'Player Scoreboard'!C19</f>
        <v/>
      </c>
      <c r="G16" s="146" t="e">
        <f t="shared" ca="1" si="1"/>
        <v>#VALUE!</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12" sqref="C12"/>
    </sheetView>
  </sheetViews>
  <sheetFormatPr baseColWidth="10" defaultColWidth="9.109375" defaultRowHeight="14.4" x14ac:dyDescent="0.3"/>
  <cols>
    <col min="1" max="1" width="1.44140625" style="255" customWidth="1"/>
    <col min="2" max="2" width="4.44140625" style="255" customWidth="1"/>
    <col min="3" max="3" width="28.77734375" style="255" customWidth="1"/>
    <col min="4" max="4" width="12.44140625" style="255" customWidth="1"/>
    <col min="5" max="5" width="12.44140625" style="265" customWidth="1"/>
    <col min="6" max="7" width="20.44140625" style="256" customWidth="1"/>
    <col min="8" max="8" width="1.44140625" style="255" customWidth="1"/>
    <col min="9" max="9" width="0.77734375" style="264" customWidth="1"/>
    <col min="10" max="10" width="1.44140625" style="2" customWidth="1"/>
    <col min="11" max="12" width="2.44140625" style="2" customWidth="1"/>
    <col min="13" max="13" width="82.33203125" style="2" customWidth="1"/>
    <col min="14" max="16384" width="9.109375" style="255"/>
  </cols>
  <sheetData>
    <row r="1" spans="2:14" s="253" customFormat="1" ht="4.95" customHeight="1" x14ac:dyDescent="0.25">
      <c r="E1" s="260"/>
      <c r="F1" s="261"/>
      <c r="G1" s="261"/>
      <c r="J1" s="36"/>
      <c r="K1" s="36"/>
      <c r="L1" s="36"/>
      <c r="M1" s="36"/>
    </row>
    <row r="2" spans="2:14" s="254" customFormat="1" ht="4.95"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4.95"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80</v>
      </c>
      <c r="D9" s="266">
        <v>0</v>
      </c>
      <c r="E9" s="267">
        <v>0</v>
      </c>
      <c r="F9" s="269"/>
      <c r="G9" s="269"/>
      <c r="K9" s="257" t="s">
        <v>74</v>
      </c>
      <c r="L9" s="2" t="s">
        <v>81</v>
      </c>
    </row>
    <row r="10" spans="2:14" ht="15" customHeight="1" x14ac:dyDescent="0.3">
      <c r="B10" s="271">
        <v>5</v>
      </c>
      <c r="C10" s="329" t="s">
        <v>82</v>
      </c>
      <c r="D10" s="266">
        <v>0</v>
      </c>
      <c r="E10" s="267">
        <v>0</v>
      </c>
      <c r="F10" s="269"/>
      <c r="G10" s="269"/>
      <c r="L10" s="2" t="s">
        <v>83</v>
      </c>
    </row>
    <row r="11" spans="2:14" ht="15" customHeight="1" x14ac:dyDescent="0.3">
      <c r="B11" s="271">
        <v>6</v>
      </c>
      <c r="C11" s="329" t="s">
        <v>84</v>
      </c>
      <c r="D11" s="266">
        <v>0</v>
      </c>
      <c r="E11" s="267">
        <v>0</v>
      </c>
      <c r="F11" s="269"/>
      <c r="G11" s="269"/>
      <c r="K11" s="257"/>
      <c r="L11" s="2" t="s">
        <v>85</v>
      </c>
    </row>
    <row r="12" spans="2:14" ht="15" customHeight="1" x14ac:dyDescent="0.3">
      <c r="B12" s="271">
        <v>7</v>
      </c>
      <c r="C12" s="343" t="s">
        <v>377</v>
      </c>
      <c r="D12" s="266">
        <v>0</v>
      </c>
      <c r="E12" s="267">
        <v>0</v>
      </c>
      <c r="F12" s="269"/>
      <c r="G12" s="269"/>
      <c r="L12" s="2" t="s">
        <v>86</v>
      </c>
    </row>
    <row r="13" spans="2:14" ht="15" customHeight="1" x14ac:dyDescent="0.3">
      <c r="B13" s="271">
        <v>8</v>
      </c>
      <c r="C13" s="329"/>
      <c r="D13" s="266">
        <v>0</v>
      </c>
      <c r="E13" s="267">
        <v>0</v>
      </c>
      <c r="F13" s="269"/>
      <c r="G13" s="269"/>
      <c r="L13" s="258" t="s">
        <v>87</v>
      </c>
      <c r="M13" s="2" t="s">
        <v>88</v>
      </c>
    </row>
    <row r="14" spans="2:14" ht="15" customHeight="1" x14ac:dyDescent="0.3">
      <c r="B14" s="271">
        <v>9</v>
      </c>
      <c r="C14" s="329"/>
      <c r="D14" s="266">
        <v>0</v>
      </c>
      <c r="E14" s="267">
        <v>0</v>
      </c>
      <c r="F14" s="269"/>
      <c r="G14" s="269"/>
      <c r="L14" s="258" t="s">
        <v>87</v>
      </c>
      <c r="M14" s="2" t="s">
        <v>89</v>
      </c>
    </row>
    <row r="15" spans="2:14" ht="15" customHeight="1" x14ac:dyDescent="0.3">
      <c r="B15" s="271">
        <v>10</v>
      </c>
      <c r="C15" s="329"/>
      <c r="D15" s="266">
        <v>0</v>
      </c>
      <c r="E15" s="267">
        <v>0</v>
      </c>
      <c r="F15" s="269"/>
      <c r="G15" s="269"/>
      <c r="L15" s="258" t="s">
        <v>87</v>
      </c>
      <c r="M15" s="2" t="s">
        <v>90</v>
      </c>
    </row>
    <row r="16" spans="2:14" ht="15" customHeight="1" x14ac:dyDescent="0.3">
      <c r="E16" s="255"/>
      <c r="F16" s="255"/>
      <c r="G16" s="255"/>
      <c r="K16" s="257" t="s">
        <v>74</v>
      </c>
      <c r="L16" s="259" t="s">
        <v>91</v>
      </c>
    </row>
    <row r="17" spans="5:13" ht="15" customHeight="1" x14ac:dyDescent="0.3">
      <c r="E17" s="255"/>
      <c r="F17" s="255"/>
      <c r="G17" s="255"/>
    </row>
    <row r="18" spans="5:13" ht="15" customHeight="1" x14ac:dyDescent="0.3">
      <c r="E18" s="255"/>
      <c r="F18" s="255"/>
      <c r="G18" s="255"/>
      <c r="K18" s="249" t="s">
        <v>74</v>
      </c>
      <c r="L18" s="250" t="s">
        <v>92</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BY22" activePane="bottomRight" state="frozen"/>
      <selection pane="topRight" activeCell="N1" sqref="N1"/>
      <selection pane="bottomLeft" activeCell="A9" sqref="A9"/>
      <selection pane="bottomRight" activeCell="AV29" sqref="AV29"/>
    </sheetView>
  </sheetViews>
  <sheetFormatPr baseColWidth="10" defaultColWidth="9.109375" defaultRowHeight="0" customHeight="1" zeroHeight="1" x14ac:dyDescent="0.3"/>
  <cols>
    <col min="1" max="1" width="1.44140625" style="111" customWidth="1"/>
    <col min="2" max="2" width="3.44140625" style="112" customWidth="1"/>
    <col min="3" max="3" width="4.109375" style="112" customWidth="1"/>
    <col min="4" max="4" width="6.44140625" style="112" customWidth="1"/>
    <col min="5" max="5" width="8.109375" style="112" customWidth="1"/>
    <col min="6" max="6" width="6.77734375" style="112" customWidth="1"/>
    <col min="7" max="7" width="18.44140625" style="112" customWidth="1"/>
    <col min="8" max="9" width="3.44140625" style="112" customWidth="1"/>
    <col min="10" max="10" width="18.44140625" style="112" customWidth="1"/>
    <col min="11" max="12" width="3.44140625" style="112" customWidth="1"/>
    <col min="13" max="13" width="1.44140625" style="112" customWidth="1"/>
    <col min="14" max="14" width="3.77734375" style="112" customWidth="1"/>
    <col min="15" max="15" width="18.44140625" style="112" customWidth="1"/>
    <col min="16" max="17" width="3.77734375" style="112" customWidth="1"/>
    <col min="18" max="18" width="18.44140625" style="112" customWidth="1"/>
    <col min="19" max="20" width="3.77734375" style="112" customWidth="1"/>
    <col min="21" max="21" width="11.44140625" style="112" customWidth="1"/>
    <col min="22" max="23" width="9.109375" style="112" customWidth="1"/>
    <col min="24" max="24" width="3.77734375" style="112" customWidth="1"/>
    <col min="25" max="25" width="18.44140625" style="112" customWidth="1"/>
    <col min="26" max="27" width="3.77734375" style="112" customWidth="1"/>
    <col min="28" max="28" width="18.44140625" style="112" customWidth="1"/>
    <col min="29" max="30" width="3.77734375" style="112" customWidth="1"/>
    <col min="31" max="31" width="11.44140625" style="112" customWidth="1"/>
    <col min="32" max="33" width="9.109375" style="112" customWidth="1"/>
    <col min="34" max="34" width="3.77734375" style="112" customWidth="1"/>
    <col min="35" max="35" width="18.44140625" style="112" customWidth="1"/>
    <col min="36" max="37" width="3.77734375" style="112" customWidth="1"/>
    <col min="38" max="38" width="18.44140625" style="112" customWidth="1"/>
    <col min="39" max="40" width="3.77734375" style="112" customWidth="1"/>
    <col min="41" max="41" width="11.44140625" style="112" customWidth="1"/>
    <col min="42" max="43" width="9.109375" style="112" customWidth="1"/>
    <col min="44" max="44" width="3.77734375" style="112" customWidth="1"/>
    <col min="45" max="45" width="18.44140625" style="112" customWidth="1"/>
    <col min="46" max="47" width="3.77734375" style="112" customWidth="1"/>
    <col min="48" max="48" width="18.44140625" style="112" customWidth="1"/>
    <col min="49" max="50" width="3.77734375" style="112" customWidth="1"/>
    <col min="51" max="51" width="11.44140625" style="112" customWidth="1"/>
    <col min="52" max="53" width="9.109375" style="112" customWidth="1"/>
    <col min="54" max="54" width="3.77734375" style="112" customWidth="1"/>
    <col min="55" max="55" width="18.44140625" style="112" customWidth="1"/>
    <col min="56" max="57" width="3.77734375" style="112" customWidth="1"/>
    <col min="58" max="58" width="18.44140625" style="112" customWidth="1"/>
    <col min="59" max="60" width="3.77734375" style="112" customWidth="1"/>
    <col min="61" max="61" width="11.44140625" style="112" customWidth="1"/>
    <col min="62" max="63" width="9.109375" style="112" customWidth="1"/>
    <col min="64" max="64" width="3.77734375" style="112" customWidth="1"/>
    <col min="65" max="65" width="18.44140625" style="112" customWidth="1"/>
    <col min="66" max="67" width="3.77734375" style="112" customWidth="1"/>
    <col min="68" max="68" width="18.44140625" style="112" customWidth="1"/>
    <col min="69" max="70" width="3.77734375" style="112" customWidth="1"/>
    <col min="71" max="71" width="11.44140625" style="112" customWidth="1"/>
    <col min="72" max="73" width="9.109375" style="112" customWidth="1"/>
    <col min="74" max="74" width="3.77734375" style="112" customWidth="1"/>
    <col min="75" max="75" width="18.44140625" style="112" customWidth="1"/>
    <col min="76" max="77" width="3.77734375" style="112" customWidth="1"/>
    <col min="78" max="78" width="18.44140625" style="112" customWidth="1"/>
    <col min="79" max="80" width="3.77734375" style="112" customWidth="1"/>
    <col min="81" max="81" width="11.44140625" style="112" customWidth="1"/>
    <col min="82" max="83" width="9.109375" style="112" customWidth="1"/>
    <col min="84" max="84" width="3.77734375" style="112" customWidth="1"/>
    <col min="85" max="85" width="18.44140625" style="112" customWidth="1"/>
    <col min="86" max="87" width="3.77734375" style="112" customWidth="1"/>
    <col min="88" max="88" width="18.44140625" style="112" customWidth="1"/>
    <col min="89" max="90" width="3.77734375" style="112" customWidth="1"/>
    <col min="91" max="91" width="11.44140625" style="112" customWidth="1"/>
    <col min="92" max="93" width="9.109375" style="112" customWidth="1"/>
    <col min="94" max="94" width="3.77734375" style="112" customWidth="1"/>
    <col min="95" max="95" width="18.44140625" style="112" customWidth="1"/>
    <col min="96" max="97" width="3.77734375" style="112" customWidth="1"/>
    <col min="98" max="98" width="18.44140625" style="112" customWidth="1"/>
    <col min="99" max="100" width="3.77734375" style="112" customWidth="1"/>
    <col min="101" max="101" width="11.44140625" style="112" customWidth="1"/>
    <col min="102" max="103" width="9.109375" style="112" customWidth="1"/>
    <col min="104" max="104" width="3.77734375" style="112" customWidth="1"/>
    <col min="105" max="105" width="18.44140625" style="112" customWidth="1"/>
    <col min="106" max="107" width="3.77734375" style="112" customWidth="1"/>
    <col min="108" max="108" width="18.44140625" style="112" customWidth="1"/>
    <col min="109" max="110" width="3.77734375" style="112" customWidth="1"/>
    <col min="111" max="111" width="11.44140625" style="112" customWidth="1"/>
    <col min="112" max="113" width="9.109375" style="112" customWidth="1"/>
    <col min="114" max="16384" width="9.109375" style="112"/>
  </cols>
  <sheetData>
    <row r="1" spans="1:113" s="40" customFormat="1" ht="4.95" customHeight="1" x14ac:dyDescent="0.25">
      <c r="N1" s="40" t="s">
        <v>93</v>
      </c>
    </row>
    <row r="2" spans="1:113" s="43" customFormat="1" ht="4.95"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89" t="s">
        <v>94</v>
      </c>
      <c r="C3" s="389"/>
      <c r="D3" s="389"/>
      <c r="E3" s="389"/>
      <c r="F3" s="389"/>
      <c r="G3" s="389"/>
      <c r="H3" s="389"/>
      <c r="I3" s="389"/>
      <c r="J3" s="125"/>
      <c r="K3" s="125"/>
      <c r="L3" s="125"/>
      <c r="M3" s="125"/>
      <c r="N3" s="399" t="s">
        <v>95</v>
      </c>
      <c r="O3" s="400"/>
      <c r="P3" s="400"/>
      <c r="Q3" s="400"/>
      <c r="R3" s="400"/>
      <c r="S3" s="400"/>
      <c r="T3" s="400"/>
      <c r="U3" s="400"/>
      <c r="V3" s="400"/>
      <c r="W3" s="400"/>
      <c r="X3" s="400"/>
      <c r="Y3" s="400"/>
      <c r="Z3" s="400"/>
      <c r="AA3" s="400"/>
      <c r="AB3" s="400"/>
      <c r="AC3" s="400"/>
      <c r="AD3" s="400"/>
      <c r="AE3" s="44"/>
      <c r="AF3" s="44"/>
      <c r="AG3" s="44"/>
      <c r="AH3" s="386"/>
      <c r="AI3" s="387"/>
      <c r="AJ3" s="387"/>
      <c r="AK3" s="387"/>
      <c r="AL3" s="387"/>
      <c r="AM3" s="44"/>
      <c r="AN3" s="44"/>
      <c r="AO3" s="44"/>
      <c r="AP3" s="44"/>
      <c r="AQ3" s="44"/>
      <c r="AR3" s="386"/>
      <c r="AS3" s="387"/>
      <c r="AT3" s="387"/>
      <c r="AU3" s="387"/>
      <c r="AV3" s="387"/>
      <c r="AW3" s="44"/>
      <c r="AX3" s="44"/>
      <c r="AY3" s="44"/>
      <c r="AZ3" s="44"/>
      <c r="BA3" s="44"/>
      <c r="BB3" s="386"/>
      <c r="BC3" s="387"/>
      <c r="BD3" s="387"/>
      <c r="BE3" s="387"/>
      <c r="BF3" s="387"/>
      <c r="BG3" s="44"/>
      <c r="BH3" s="44"/>
      <c r="BI3" s="44"/>
      <c r="BJ3" s="44"/>
      <c r="BK3" s="44"/>
      <c r="BL3" s="386"/>
      <c r="BM3" s="387"/>
      <c r="BN3" s="387"/>
      <c r="BO3" s="387"/>
      <c r="BP3" s="387"/>
      <c r="BQ3" s="44"/>
      <c r="BR3" s="44"/>
      <c r="BS3" s="44"/>
      <c r="BT3" s="44"/>
      <c r="BU3" s="44"/>
      <c r="BV3" s="386"/>
      <c r="BW3" s="387"/>
      <c r="BX3" s="387"/>
      <c r="BY3" s="387"/>
      <c r="BZ3" s="387"/>
      <c r="CA3" s="44"/>
      <c r="CB3" s="44"/>
      <c r="CC3" s="44"/>
      <c r="CD3" s="44"/>
      <c r="CE3" s="44"/>
      <c r="CF3" s="386"/>
      <c r="CG3" s="387"/>
      <c r="CH3" s="387"/>
      <c r="CI3" s="387"/>
      <c r="CJ3" s="387"/>
      <c r="CK3" s="44"/>
      <c r="CL3" s="44"/>
      <c r="CM3" s="44"/>
      <c r="CN3" s="44"/>
      <c r="CO3" s="44"/>
      <c r="CP3" s="386"/>
      <c r="CQ3" s="387"/>
      <c r="CR3" s="387"/>
      <c r="CS3" s="387"/>
      <c r="CT3" s="387"/>
      <c r="CU3" s="44"/>
      <c r="CV3" s="44"/>
      <c r="CW3" s="44"/>
      <c r="CX3" s="44"/>
      <c r="CY3" s="44"/>
      <c r="CZ3" s="386"/>
      <c r="DA3" s="387"/>
      <c r="DB3" s="387"/>
      <c r="DC3" s="387"/>
      <c r="DD3" s="387"/>
      <c r="DE3" s="44"/>
      <c r="DF3" s="44"/>
      <c r="DG3" s="44"/>
      <c r="DH3" s="44"/>
      <c r="DI3" s="44"/>
    </row>
    <row r="4" spans="1:113" s="43" customFormat="1" ht="15" customHeight="1" x14ac:dyDescent="0.25">
      <c r="A4" s="41"/>
      <c r="B4" s="389"/>
      <c r="C4" s="389"/>
      <c r="D4" s="389"/>
      <c r="E4" s="389"/>
      <c r="F4" s="389"/>
      <c r="G4" s="389"/>
      <c r="H4" s="389"/>
      <c r="I4" s="389"/>
      <c r="J4" s="125"/>
      <c r="K4" s="125"/>
      <c r="L4" s="125"/>
      <c r="M4" s="125"/>
      <c r="N4" s="399"/>
      <c r="O4" s="400"/>
      <c r="P4" s="400"/>
      <c r="Q4" s="400"/>
      <c r="R4" s="400"/>
      <c r="S4" s="400"/>
      <c r="T4" s="400"/>
      <c r="U4" s="400"/>
      <c r="V4" s="400"/>
      <c r="W4" s="400"/>
      <c r="X4" s="400"/>
      <c r="Y4" s="400"/>
      <c r="Z4" s="400"/>
      <c r="AA4" s="400"/>
      <c r="AB4" s="400"/>
      <c r="AC4" s="400"/>
      <c r="AD4" s="400"/>
      <c r="AE4" s="46"/>
      <c r="AF4" s="45"/>
      <c r="AG4" s="45"/>
      <c r="AH4" s="386"/>
      <c r="AI4" s="387"/>
      <c r="AJ4" s="387"/>
      <c r="AK4" s="387"/>
      <c r="AL4" s="387"/>
      <c r="AM4" s="46"/>
      <c r="AN4" s="46"/>
      <c r="AO4" s="46"/>
      <c r="AP4" s="45"/>
      <c r="AQ4" s="45"/>
      <c r="AR4" s="386"/>
      <c r="AS4" s="387"/>
      <c r="AT4" s="387"/>
      <c r="AU4" s="387"/>
      <c r="AV4" s="387"/>
      <c r="AW4" s="46"/>
      <c r="AX4" s="46"/>
      <c r="AY4" s="46"/>
      <c r="AZ4" s="45"/>
      <c r="BA4" s="45"/>
      <c r="BB4" s="386"/>
      <c r="BC4" s="387"/>
      <c r="BD4" s="387"/>
      <c r="BE4" s="387"/>
      <c r="BF4" s="387"/>
      <c r="BG4" s="46"/>
      <c r="BH4" s="46"/>
      <c r="BI4" s="46"/>
      <c r="BJ4" s="45"/>
      <c r="BK4" s="45"/>
      <c r="BL4" s="386"/>
      <c r="BM4" s="387"/>
      <c r="BN4" s="387"/>
      <c r="BO4" s="387"/>
      <c r="BP4" s="387"/>
      <c r="BQ4" s="46"/>
      <c r="BR4" s="46"/>
      <c r="BS4" s="46"/>
      <c r="BT4" s="45"/>
      <c r="BU4" s="45"/>
      <c r="BV4" s="386"/>
      <c r="BW4" s="387"/>
      <c r="BX4" s="387"/>
      <c r="BY4" s="387"/>
      <c r="BZ4" s="387"/>
      <c r="CA4" s="46"/>
      <c r="CB4" s="46"/>
      <c r="CC4" s="46"/>
      <c r="CD4" s="45"/>
      <c r="CE4" s="45"/>
      <c r="CF4" s="386"/>
      <c r="CG4" s="387"/>
      <c r="CH4" s="387"/>
      <c r="CI4" s="387"/>
      <c r="CJ4" s="387"/>
      <c r="CK4" s="46"/>
      <c r="CL4" s="46"/>
      <c r="CM4" s="46"/>
      <c r="CN4" s="45"/>
      <c r="CO4" s="45"/>
      <c r="CP4" s="386"/>
      <c r="CQ4" s="387"/>
      <c r="CR4" s="387"/>
      <c r="CS4" s="387"/>
      <c r="CT4" s="387"/>
      <c r="CU4" s="46"/>
      <c r="CV4" s="46"/>
      <c r="CW4" s="46"/>
      <c r="CX4" s="45"/>
      <c r="CY4" s="45"/>
      <c r="CZ4" s="386"/>
      <c r="DA4" s="387"/>
      <c r="DB4" s="387"/>
      <c r="DC4" s="387"/>
      <c r="DD4" s="387"/>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t="str">
        <f t="shared" ref="CF5" si="40">IF(CH6="","",1)</f>
        <v/>
      </c>
      <c r="CG5" s="49" t="str">
        <f t="shared" ref="CG5" si="41">IF(CH6="","",1)</f>
        <v/>
      </c>
      <c r="CH5" s="49" t="str">
        <f t="shared" ref="CH5" si="42">IF(CH6="","",1)</f>
        <v/>
      </c>
      <c r="CI5" s="49" t="str">
        <f t="shared" ref="CI5" si="43">IF(CH6="","",1)</f>
        <v/>
      </c>
      <c r="CJ5" s="49" t="str">
        <f t="shared" ref="CJ5" si="44">IF(CH6="","",1)</f>
        <v/>
      </c>
      <c r="CK5" s="49"/>
      <c r="CL5" s="49"/>
      <c r="CM5" s="49" t="str">
        <f t="shared" ref="CM5" si="45">IF(CH6="","",1)</f>
        <v/>
      </c>
      <c r="CN5" s="49" t="str">
        <f t="shared" ref="CN5" si="46">IF(CH6="","",1)</f>
        <v/>
      </c>
      <c r="CO5" s="49" t="str">
        <f t="shared" ref="CO5" si="47">IF(CH6="","",1)</f>
        <v/>
      </c>
      <c r="CP5" s="48" t="str">
        <f t="shared" ref="CP5" si="48">IF(CR6="","",1)</f>
        <v/>
      </c>
      <c r="CQ5" s="49" t="str">
        <f t="shared" ref="CQ5" si="49">IF(CR6="","",1)</f>
        <v/>
      </c>
      <c r="CR5" s="49" t="str">
        <f t="shared" ref="CR5" si="50">IF(CR6="","",1)</f>
        <v/>
      </c>
      <c r="CS5" s="49" t="str">
        <f t="shared" ref="CS5" si="51">IF(CR6="","",1)</f>
        <v/>
      </c>
      <c r="CT5" s="49" t="str">
        <f t="shared" ref="CT5" si="52">IF(CR6="","",1)</f>
        <v/>
      </c>
      <c r="CU5" s="49"/>
      <c r="CV5" s="49"/>
      <c r="CW5" s="49" t="str">
        <f t="shared" ref="CW5" si="53">IF(CR6="","",1)</f>
        <v/>
      </c>
      <c r="CX5" s="49" t="str">
        <f t="shared" ref="CX5" si="54">IF(CR6="","",1)</f>
        <v/>
      </c>
      <c r="CY5" s="49" t="str">
        <f t="shared" ref="CY5" si="55">IF(CR6="","",1)</f>
        <v/>
      </c>
      <c r="CZ5" s="48" t="str">
        <f t="shared" ref="CZ5" si="56">IF(DB6="","",1)</f>
        <v/>
      </c>
      <c r="DA5" s="49" t="str">
        <f t="shared" ref="DA5" si="57">IF(DB6="","",1)</f>
        <v/>
      </c>
      <c r="DB5" s="49" t="str">
        <f t="shared" ref="DB5" si="58">IF(DB6="","",1)</f>
        <v/>
      </c>
      <c r="DC5" s="49" t="str">
        <f t="shared" ref="DC5" si="59">IF(DB6="","",1)</f>
        <v/>
      </c>
      <c r="DD5" s="49" t="str">
        <f t="shared" ref="DD5" si="60">IF(DB6="","",1)</f>
        <v/>
      </c>
      <c r="DE5" s="49"/>
      <c r="DF5" s="49"/>
      <c r="DG5" s="49" t="str">
        <f t="shared" ref="DG5" si="61">IF(DB6="","",1)</f>
        <v/>
      </c>
      <c r="DH5" s="49" t="str">
        <f t="shared" ref="DH5" si="62">IF(DB6="","",1)</f>
        <v/>
      </c>
      <c r="DI5" s="49" t="str">
        <f t="shared" ref="DI5" si="63">IF(DB6="","",1)</f>
        <v/>
      </c>
    </row>
    <row r="6" spans="1:113" s="43" customFormat="1" ht="15" customHeight="1" x14ac:dyDescent="0.25">
      <c r="A6" s="41"/>
      <c r="B6" s="50"/>
      <c r="C6" s="50"/>
      <c r="D6" s="50"/>
      <c r="E6" s="50"/>
      <c r="F6" s="50"/>
      <c r="G6" s="50"/>
      <c r="H6" s="50"/>
      <c r="I6" s="50"/>
      <c r="J6" s="50"/>
      <c r="K6" s="50"/>
      <c r="L6" s="50"/>
      <c r="M6" s="50"/>
      <c r="N6" s="51">
        <v>1</v>
      </c>
      <c r="O6" s="52" t="s">
        <v>96</v>
      </c>
      <c r="P6" s="53" t="str">
        <f>VLOOKUP(N6,'Player Scoreboard'!B10:C19,2,FALSE)</f>
        <v>Magnus (TRAC)</v>
      </c>
      <c r="Q6" s="52"/>
      <c r="R6" s="52"/>
      <c r="S6" s="52"/>
      <c r="T6" s="52"/>
      <c r="U6" s="54" t="s">
        <v>97</v>
      </c>
      <c r="V6" s="54" t="s">
        <v>3</v>
      </c>
      <c r="W6" s="54" t="s">
        <v>98</v>
      </c>
      <c r="X6" s="51">
        <f>N6+1</f>
        <v>2</v>
      </c>
      <c r="Y6" s="52" t="s">
        <v>96</v>
      </c>
      <c r="Z6" s="53" t="str">
        <f>VLOOKUP(X6,'Player Scoreboard'!B10:C19,2,FALSE)</f>
        <v>Steve (TRAC)</v>
      </c>
      <c r="AA6" s="52"/>
      <c r="AB6" s="52"/>
      <c r="AC6" s="52"/>
      <c r="AD6" s="52"/>
      <c r="AE6" s="54" t="s">
        <v>97</v>
      </c>
      <c r="AF6" s="54" t="s">
        <v>3</v>
      </c>
      <c r="AG6" s="54" t="s">
        <v>98</v>
      </c>
      <c r="AH6" s="51">
        <f t="shared" ref="AH6" si="64">X6+1</f>
        <v>3</v>
      </c>
      <c r="AI6" s="52" t="s">
        <v>96</v>
      </c>
      <c r="AJ6" s="53" t="str">
        <f>VLOOKUP(AH6,'Player Scoreboard'!B10:C19,2,FALSE)</f>
        <v>Mateo (Virksomhet)</v>
      </c>
      <c r="AK6" s="52"/>
      <c r="AL6" s="52"/>
      <c r="AM6" s="52"/>
      <c r="AN6" s="52"/>
      <c r="AO6" s="54" t="s">
        <v>97</v>
      </c>
      <c r="AP6" s="54" t="s">
        <v>3</v>
      </c>
      <c r="AQ6" s="54" t="s">
        <v>98</v>
      </c>
      <c r="AR6" s="51">
        <f t="shared" ref="AR6" si="65">AH6+1</f>
        <v>4</v>
      </c>
      <c r="AS6" s="52" t="s">
        <v>96</v>
      </c>
      <c r="AT6" s="53" t="str">
        <f>VLOOKUP(AR6,'Player Scoreboard'!B10:C19,2,FALSE)</f>
        <v>Flemming (IFA)</v>
      </c>
      <c r="AU6" s="52"/>
      <c r="AV6" s="52"/>
      <c r="AW6" s="52"/>
      <c r="AX6" s="52"/>
      <c r="AY6" s="54" t="s">
        <v>97</v>
      </c>
      <c r="AZ6" s="54" t="s">
        <v>3</v>
      </c>
      <c r="BA6" s="54" t="s">
        <v>98</v>
      </c>
      <c r="BB6" s="51">
        <f t="shared" ref="BB6" si="66">AR6+1</f>
        <v>5</v>
      </c>
      <c r="BC6" s="52" t="s">
        <v>96</v>
      </c>
      <c r="BD6" s="53" t="str">
        <f>VLOOKUP(BB6,'Player Scoreboard'!B10:C19,2,FALSE)</f>
        <v>Stian (Virksomhet)</v>
      </c>
      <c r="BE6" s="52"/>
      <c r="BF6" s="52"/>
      <c r="BG6" s="52"/>
      <c r="BH6" s="52"/>
      <c r="BI6" s="54" t="s">
        <v>97</v>
      </c>
      <c r="BJ6" s="54" t="s">
        <v>3</v>
      </c>
      <c r="BK6" s="54" t="s">
        <v>98</v>
      </c>
      <c r="BL6" s="51">
        <f t="shared" ref="BL6" si="67">BB6+1</f>
        <v>6</v>
      </c>
      <c r="BM6" s="52" t="s">
        <v>96</v>
      </c>
      <c r="BN6" s="53" t="str">
        <f>VLOOKUP(BL6,'Player Scoreboard'!B10:C19,2,FALSE)</f>
        <v>Hanne Maren (TRAC)</v>
      </c>
      <c r="BO6" s="52"/>
      <c r="BP6" s="52"/>
      <c r="BQ6" s="52"/>
      <c r="BR6" s="52"/>
      <c r="BS6" s="54" t="s">
        <v>97</v>
      </c>
      <c r="BT6" s="54" t="s">
        <v>3</v>
      </c>
      <c r="BU6" s="54" t="s">
        <v>98</v>
      </c>
      <c r="BV6" s="51">
        <f t="shared" ref="BV6" si="68">BL6+1</f>
        <v>7</v>
      </c>
      <c r="BW6" s="52" t="s">
        <v>96</v>
      </c>
      <c r="BX6" s="53" t="str">
        <f>VLOOKUP(BV6,'Player Scoreboard'!B10:C19,2,FALSE)</f>
        <v>Kjell Tore (Too Little Too Late)</v>
      </c>
      <c r="BY6" s="52"/>
      <c r="BZ6" s="52"/>
      <c r="CA6" s="52"/>
      <c r="CB6" s="52"/>
      <c r="CC6" s="54" t="s">
        <v>97</v>
      </c>
      <c r="CD6" s="54" t="s">
        <v>3</v>
      </c>
      <c r="CE6" s="54" t="s">
        <v>98</v>
      </c>
      <c r="CF6" s="51">
        <f t="shared" ref="CF6" si="69">BV6+1</f>
        <v>8</v>
      </c>
      <c r="CG6" s="52" t="s">
        <v>96</v>
      </c>
      <c r="CH6" s="53" t="str">
        <f>VLOOKUP(CF6,'Player Scoreboard'!B10:C19,2,FALSE)</f>
        <v/>
      </c>
      <c r="CI6" s="52"/>
      <c r="CJ6" s="52"/>
      <c r="CK6" s="52"/>
      <c r="CL6" s="52"/>
      <c r="CM6" s="54" t="s">
        <v>97</v>
      </c>
      <c r="CN6" s="54" t="s">
        <v>3</v>
      </c>
      <c r="CO6" s="54" t="s">
        <v>98</v>
      </c>
      <c r="CP6" s="51">
        <f t="shared" ref="CP6" si="70">CF6+1</f>
        <v>9</v>
      </c>
      <c r="CQ6" s="52" t="s">
        <v>96</v>
      </c>
      <c r="CR6" s="53" t="str">
        <f>VLOOKUP(CP6,'Player Scoreboard'!B10:C19,2,FALSE)</f>
        <v/>
      </c>
      <c r="CS6" s="52"/>
      <c r="CT6" s="52"/>
      <c r="CU6" s="52"/>
      <c r="CV6" s="52"/>
      <c r="CW6" s="54" t="s">
        <v>97</v>
      </c>
      <c r="CX6" s="54" t="s">
        <v>3</v>
      </c>
      <c r="CY6" s="54" t="s">
        <v>98</v>
      </c>
      <c r="CZ6" s="51">
        <f t="shared" ref="CZ6" si="71">CP6+1</f>
        <v>10</v>
      </c>
      <c r="DA6" s="52" t="s">
        <v>96</v>
      </c>
      <c r="DB6" s="53" t="str">
        <f>VLOOKUP(CZ6,'Player Scoreboard'!B10:C19,2,FALSE)</f>
        <v/>
      </c>
      <c r="DC6" s="52"/>
      <c r="DD6" s="52"/>
      <c r="DE6" s="52"/>
      <c r="DF6" s="52"/>
      <c r="DG6" s="54" t="s">
        <v>97</v>
      </c>
      <c r="DH6" s="54" t="s">
        <v>3</v>
      </c>
      <c r="DI6" s="54" t="s">
        <v>98</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96" t="str">
        <f>'Language Table'!C38</f>
        <v>Score</v>
      </c>
      <c r="I7" s="396"/>
      <c r="J7" s="123" t="str">
        <f>G7</f>
        <v>Country</v>
      </c>
      <c r="K7" s="56"/>
      <c r="L7" s="56"/>
      <c r="M7" s="55"/>
      <c r="N7" s="51"/>
      <c r="O7" s="52" t="s">
        <v>99</v>
      </c>
      <c r="P7" s="57">
        <f ca="1">VLOOKUP(P6,'Dummy Rank'!F7:G16,2,FALSE)</f>
        <v>1</v>
      </c>
      <c r="Q7" s="52"/>
      <c r="R7" s="52"/>
      <c r="S7" s="52"/>
      <c r="T7" s="52"/>
      <c r="U7" s="58">
        <f ca="1">V7+W7</f>
        <v>42</v>
      </c>
      <c r="V7" s="58">
        <f ca="1">SUM(V10:V75)</f>
        <v>42</v>
      </c>
      <c r="W7" s="59">
        <f ca="1">SUM(W10:W88)</f>
        <v>0</v>
      </c>
      <c r="X7" s="51"/>
      <c r="Y7" s="52" t="s">
        <v>99</v>
      </c>
      <c r="Z7" s="148">
        <f ca="1">VLOOKUP(Z6,'Dummy Rank'!F7:G16,2,FALSE)</f>
        <v>7</v>
      </c>
      <c r="AA7" s="52"/>
      <c r="AB7" s="52"/>
      <c r="AC7" s="52"/>
      <c r="AD7" s="52"/>
      <c r="AE7" s="58">
        <f ca="1">AF7+AG7</f>
        <v>26</v>
      </c>
      <c r="AF7" s="58">
        <f ca="1">SUM(AF10:AF75)</f>
        <v>26</v>
      </c>
      <c r="AG7" s="59">
        <f ca="1">SUM(AG10:AG88)</f>
        <v>0</v>
      </c>
      <c r="AH7" s="51"/>
      <c r="AI7" s="52" t="s">
        <v>99</v>
      </c>
      <c r="AJ7" s="148">
        <f ca="1">VLOOKUP(AJ6,'Dummy Rank'!F7:G16,2,FALSE)</f>
        <v>3</v>
      </c>
      <c r="AK7" s="52"/>
      <c r="AL7" s="52"/>
      <c r="AM7" s="52"/>
      <c r="AN7" s="52"/>
      <c r="AO7" s="58">
        <f t="shared" ref="AO7" ca="1" si="72">AP7+AQ7</f>
        <v>34</v>
      </c>
      <c r="AP7" s="58">
        <f t="shared" ref="AP7" ca="1" si="73">SUM(AP10:AP75)</f>
        <v>34</v>
      </c>
      <c r="AQ7" s="59">
        <f t="shared" ref="AQ7" ca="1" si="74">SUM(AQ10:AQ88)</f>
        <v>0</v>
      </c>
      <c r="AR7" s="51"/>
      <c r="AS7" s="52" t="s">
        <v>99</v>
      </c>
      <c r="AT7" s="148">
        <f ca="1">VLOOKUP(AT6,'Dummy Rank'!F7:G16,2,FALSE)</f>
        <v>6</v>
      </c>
      <c r="AU7" s="52"/>
      <c r="AV7" s="52"/>
      <c r="AW7" s="52"/>
      <c r="AX7" s="52"/>
      <c r="AY7" s="58">
        <f t="shared" ref="AY7" ca="1" si="75">AZ7+BA7</f>
        <v>28</v>
      </c>
      <c r="AZ7" s="58">
        <f t="shared" ref="AZ7" ca="1" si="76">SUM(AZ10:AZ75)</f>
        <v>28</v>
      </c>
      <c r="BA7" s="59">
        <f t="shared" ref="BA7" ca="1" si="77">SUM(BA10:BA88)</f>
        <v>0</v>
      </c>
      <c r="BB7" s="51"/>
      <c r="BC7" s="52" t="s">
        <v>99</v>
      </c>
      <c r="BD7" s="148">
        <f ca="1">VLOOKUP(BD6,'Dummy Rank'!F7:G16,2,FALSE)</f>
        <v>5</v>
      </c>
      <c r="BE7" s="52"/>
      <c r="BF7" s="52"/>
      <c r="BG7" s="52"/>
      <c r="BH7" s="52"/>
      <c r="BI7" s="58">
        <f t="shared" ref="BI7" ca="1" si="78">BJ7+BK7</f>
        <v>30</v>
      </c>
      <c r="BJ7" s="58">
        <f t="shared" ref="BJ7" ca="1" si="79">SUM(BJ10:BJ75)</f>
        <v>30</v>
      </c>
      <c r="BK7" s="59">
        <f t="shared" ref="BK7" ca="1" si="80">SUM(BK10:BK88)</f>
        <v>0</v>
      </c>
      <c r="BL7" s="51"/>
      <c r="BM7" s="52" t="s">
        <v>99</v>
      </c>
      <c r="BN7" s="148">
        <f ca="1">VLOOKUP(BN6,'Dummy Rank'!F7:G16,2,FALSE)</f>
        <v>2</v>
      </c>
      <c r="BO7" s="52"/>
      <c r="BP7" s="52"/>
      <c r="BQ7" s="52"/>
      <c r="BR7" s="52"/>
      <c r="BS7" s="58">
        <f t="shared" ref="BS7" ca="1" si="81">BT7+BU7</f>
        <v>38</v>
      </c>
      <c r="BT7" s="58">
        <f t="shared" ref="BT7" ca="1" si="82">SUM(BT10:BT75)</f>
        <v>38</v>
      </c>
      <c r="BU7" s="59">
        <f t="shared" ref="BU7" ca="1" si="83">SUM(BU10:BU88)</f>
        <v>0</v>
      </c>
      <c r="BV7" s="51"/>
      <c r="BW7" s="52" t="s">
        <v>99</v>
      </c>
      <c r="BX7" s="148">
        <f ca="1">VLOOKUP(BX6,'Dummy Rank'!F7:G16,2,FALSE)</f>
        <v>4</v>
      </c>
      <c r="BY7" s="52"/>
      <c r="BZ7" s="52"/>
      <c r="CA7" s="52"/>
      <c r="CB7" s="52"/>
      <c r="CC7" s="58">
        <f t="shared" ref="CC7" ca="1" si="84">CD7+CE7</f>
        <v>32</v>
      </c>
      <c r="CD7" s="58">
        <f t="shared" ref="CD7" ca="1" si="85">SUM(CD10:CD75)</f>
        <v>32</v>
      </c>
      <c r="CE7" s="59">
        <f t="shared" ref="CE7" ca="1" si="86">SUM(CE10:CE88)</f>
        <v>0</v>
      </c>
      <c r="CF7" s="51"/>
      <c r="CG7" s="52" t="s">
        <v>99</v>
      </c>
      <c r="CH7" s="148" t="e">
        <f ca="1">VLOOKUP(CH6,'Dummy Rank'!F7:G16,2,FALSE)</f>
        <v>#VALUE!</v>
      </c>
      <c r="CI7" s="52"/>
      <c r="CJ7" s="52"/>
      <c r="CK7" s="52"/>
      <c r="CL7" s="52"/>
      <c r="CM7" s="58">
        <f t="shared" ref="CM7" ca="1" si="87">CN7+CO7</f>
        <v>0</v>
      </c>
      <c r="CN7" s="58">
        <f t="shared" ref="CN7" ca="1" si="88">SUM(CN10:CN75)</f>
        <v>0</v>
      </c>
      <c r="CO7" s="59">
        <f t="shared" ref="CO7" ca="1" si="89">SUM(CO10:CO88)</f>
        <v>0</v>
      </c>
      <c r="CP7" s="51"/>
      <c r="CQ7" s="52" t="s">
        <v>99</v>
      </c>
      <c r="CR7" s="148" t="e">
        <f ca="1">VLOOKUP(CR6,'Dummy Rank'!F7:G16,2,FALSE)</f>
        <v>#VALUE!</v>
      </c>
      <c r="CS7" s="52"/>
      <c r="CT7" s="52"/>
      <c r="CU7" s="52"/>
      <c r="CV7" s="52"/>
      <c r="CW7" s="58">
        <f t="shared" ref="CW7" ca="1" si="90">CX7+CY7</f>
        <v>0</v>
      </c>
      <c r="CX7" s="58">
        <f t="shared" ref="CX7" ca="1" si="91">SUM(CX10:CX75)</f>
        <v>0</v>
      </c>
      <c r="CY7" s="59">
        <f t="shared" ref="CY7" ca="1" si="92">SUM(CY10:CY88)</f>
        <v>0</v>
      </c>
      <c r="CZ7" s="51"/>
      <c r="DA7" s="52" t="s">
        <v>99</v>
      </c>
      <c r="DB7" s="148" t="e">
        <f ca="1">VLOOKUP(DB6,'Dummy Rank'!F7:G16,2,FALSE)</f>
        <v>#VALUE!</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3</v>
      </c>
      <c r="V9" s="68"/>
      <c r="W9" s="69"/>
      <c r="X9" s="126">
        <f>SUM(AE10:AE45)</f>
        <v>3</v>
      </c>
      <c r="Z9" s="43" t="s">
        <v>100</v>
      </c>
      <c r="AF9" s="68"/>
      <c r="AG9" s="69"/>
      <c r="AH9" s="126">
        <f t="shared" ref="AH9" si="96">SUM(AO10:AO45)</f>
        <v>1</v>
      </c>
      <c r="AJ9" s="43" t="s">
        <v>100</v>
      </c>
      <c r="AP9" s="68"/>
      <c r="AQ9" s="69"/>
      <c r="AR9" s="126">
        <f t="shared" ref="AR9" si="97">SUM(AY10:AY45)</f>
        <v>0</v>
      </c>
      <c r="AT9" s="43" t="s">
        <v>100</v>
      </c>
      <c r="AZ9" s="68"/>
      <c r="BA9" s="69"/>
      <c r="BB9" s="126">
        <f t="shared" ref="BB9" si="98">SUM(BI10:BI45)</f>
        <v>2</v>
      </c>
      <c r="BD9" s="43" t="s">
        <v>100</v>
      </c>
      <c r="BJ9" s="68"/>
      <c r="BK9" s="69"/>
      <c r="BL9" s="126">
        <f t="shared" ref="BL9" si="99">SUM(BS10:BS45)</f>
        <v>3</v>
      </c>
      <c r="BN9" s="43" t="s">
        <v>100</v>
      </c>
      <c r="BT9" s="68"/>
      <c r="BU9" s="69"/>
      <c r="BV9" s="126">
        <f t="shared" ref="BV9" si="100">SUM(CC10:CC45)</f>
        <v>2</v>
      </c>
      <c r="BX9" s="43" t="s">
        <v>100</v>
      </c>
      <c r="CD9" s="68"/>
      <c r="CE9" s="69"/>
      <c r="CF9" s="126">
        <f t="shared" ref="CF9" si="101">SUM(CM10:CM45)</f>
        <v>0</v>
      </c>
      <c r="CH9" s="43" t="s">
        <v>100</v>
      </c>
      <c r="CN9" s="68"/>
      <c r="CO9" s="69"/>
      <c r="CP9" s="126">
        <f t="shared" ref="CP9" si="102">SUM(CW10:CW45)</f>
        <v>0</v>
      </c>
      <c r="CR9" s="43" t="s">
        <v>100</v>
      </c>
      <c r="CX9" s="68"/>
      <c r="CY9" s="69"/>
      <c r="CZ9" s="126">
        <f t="shared" ref="CZ9" si="103">SUM(DG10:DG45)</f>
        <v>0</v>
      </c>
      <c r="DB9" s="43" t="s">
        <v>100</v>
      </c>
      <c r="DH9" s="68"/>
      <c r="DI9" s="69"/>
    </row>
    <row r="10" spans="1:113" s="43" customFormat="1" ht="15" customHeight="1" x14ac:dyDescent="0.25">
      <c r="A10" s="41">
        <v>15</v>
      </c>
      <c r="B10" s="65"/>
      <c r="C10" s="55">
        <v>1</v>
      </c>
      <c r="D10" s="20" t="s">
        <v>101</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3</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331">
        <v>2</v>
      </c>
      <c r="BE10" s="332">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331">
        <v>3</v>
      </c>
      <c r="BO10" s="332">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101</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4</v>
      </c>
      <c r="R11" s="76" t="str">
        <f t="shared" si="105"/>
        <v>Switzerland</v>
      </c>
      <c r="U11" s="77">
        <f t="shared" si="106"/>
        <v>0</v>
      </c>
      <c r="V11" s="78">
        <f t="shared" si="107"/>
        <v>2</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333">
        <v>0</v>
      </c>
      <c r="BE11" s="334">
        <v>1</v>
      </c>
      <c r="BF11" s="76" t="str">
        <f t="shared" si="121"/>
        <v>Switzerland</v>
      </c>
      <c r="BI11" s="77">
        <f t="shared" si="122"/>
        <v>0</v>
      </c>
      <c r="BJ11" s="78">
        <f t="shared" si="123"/>
        <v>2</v>
      </c>
      <c r="BK11" s="69"/>
      <c r="BL11" s="127"/>
      <c r="BM11" s="74" t="str">
        <f t="shared" si="124"/>
        <v>Hungary</v>
      </c>
      <c r="BN11" s="333">
        <v>1</v>
      </c>
      <c r="BO11" s="334">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102</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3</v>
      </c>
      <c r="Q12" s="331">
        <v>0</v>
      </c>
      <c r="R12" s="76" t="str">
        <f t="shared" si="105"/>
        <v>Croatia</v>
      </c>
      <c r="U12" s="77">
        <f t="shared" si="106"/>
        <v>1</v>
      </c>
      <c r="V12" s="78">
        <f t="shared" si="107"/>
        <v>6</v>
      </c>
      <c r="W12" s="69"/>
      <c r="X12" s="127"/>
      <c r="Y12" s="74" t="str">
        <f t="shared" si="108"/>
        <v>Spain</v>
      </c>
      <c r="Z12" s="333">
        <v>1</v>
      </c>
      <c r="AA12" s="334">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333">
        <v>1</v>
      </c>
      <c r="BE12" s="334">
        <v>1</v>
      </c>
      <c r="BF12" s="76" t="str">
        <f t="shared" si="121"/>
        <v>Croatia</v>
      </c>
      <c r="BI12" s="77">
        <f t="shared" si="122"/>
        <v>0</v>
      </c>
      <c r="BJ12" s="78">
        <f t="shared" si="123"/>
        <v>0</v>
      </c>
      <c r="BK12" s="69"/>
      <c r="BL12" s="127"/>
      <c r="BM12" s="74" t="str">
        <f t="shared" si="124"/>
        <v>Spain</v>
      </c>
      <c r="BN12" s="333">
        <v>2</v>
      </c>
      <c r="BO12" s="334">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102</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3</v>
      </c>
      <c r="Q13" s="331">
        <v>0</v>
      </c>
      <c r="R13" s="76" t="str">
        <f t="shared" si="105"/>
        <v>Albania</v>
      </c>
      <c r="U13" s="77">
        <f t="shared" si="106"/>
        <v>0</v>
      </c>
      <c r="V13" s="78">
        <f t="shared" si="107"/>
        <v>2</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333">
        <v>3</v>
      </c>
      <c r="BE13" s="334">
        <v>0</v>
      </c>
      <c r="BF13" s="76" t="str">
        <f t="shared" si="121"/>
        <v>Albania</v>
      </c>
      <c r="BI13" s="77">
        <f t="shared" si="122"/>
        <v>0</v>
      </c>
      <c r="BJ13" s="78">
        <f t="shared" si="123"/>
        <v>2</v>
      </c>
      <c r="BK13" s="69"/>
      <c r="BL13" s="127"/>
      <c r="BM13" s="74" t="str">
        <f t="shared" si="124"/>
        <v>Italy</v>
      </c>
      <c r="BN13" s="333">
        <v>3</v>
      </c>
      <c r="BO13" s="334">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103</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1</v>
      </c>
      <c r="Q14" s="331">
        <v>2</v>
      </c>
      <c r="R14" s="76" t="str">
        <f t="shared" si="105"/>
        <v>England</v>
      </c>
      <c r="U14" s="77">
        <f t="shared" si="106"/>
        <v>0</v>
      </c>
      <c r="V14" s="78">
        <f t="shared" si="107"/>
        <v>4</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333">
        <v>2</v>
      </c>
      <c r="BE14" s="334">
        <v>2</v>
      </c>
      <c r="BF14" s="76" t="str">
        <f t="shared" si="121"/>
        <v>England</v>
      </c>
      <c r="BI14" s="77">
        <f t="shared" si="122"/>
        <v>0</v>
      </c>
      <c r="BJ14" s="78">
        <f t="shared" si="123"/>
        <v>0</v>
      </c>
      <c r="BK14" s="69"/>
      <c r="BL14" s="127"/>
      <c r="BM14" s="74" t="str">
        <f t="shared" si="124"/>
        <v>Serbia</v>
      </c>
      <c r="BN14" s="333">
        <v>1</v>
      </c>
      <c r="BO14" s="334">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103</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1</v>
      </c>
      <c r="Q15" s="331">
        <v>1</v>
      </c>
      <c r="R15" s="76" t="str">
        <f t="shared" si="105"/>
        <v>Denmark</v>
      </c>
      <c r="U15" s="77">
        <f t="shared" si="106"/>
        <v>1</v>
      </c>
      <c r="V15" s="78">
        <f t="shared" si="107"/>
        <v>6</v>
      </c>
      <c r="W15" s="69"/>
      <c r="X15" s="127"/>
      <c r="Y15" s="74" t="str">
        <f t="shared" si="108"/>
        <v>Slovenia</v>
      </c>
      <c r="Z15" s="333">
        <v>1</v>
      </c>
      <c r="AA15" s="334">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333">
        <v>1</v>
      </c>
      <c r="BE15" s="334">
        <v>2</v>
      </c>
      <c r="BF15" s="76" t="str">
        <f t="shared" si="121"/>
        <v>Denmark</v>
      </c>
      <c r="BI15" s="77">
        <f t="shared" si="122"/>
        <v>0</v>
      </c>
      <c r="BJ15" s="78">
        <f t="shared" si="123"/>
        <v>0</v>
      </c>
      <c r="BK15" s="69"/>
      <c r="BL15" s="127"/>
      <c r="BM15" s="74" t="str">
        <f t="shared" si="124"/>
        <v>Slovenia</v>
      </c>
      <c r="BN15" s="333">
        <v>0</v>
      </c>
      <c r="BO15" s="334">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104</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0</v>
      </c>
      <c r="Q16" s="331">
        <v>2</v>
      </c>
      <c r="R16" s="76" t="str">
        <f t="shared" si="105"/>
        <v>Netherlands</v>
      </c>
      <c r="U16" s="77">
        <f t="shared" si="106"/>
        <v>0</v>
      </c>
      <c r="V16" s="78">
        <f t="shared" si="107"/>
        <v>2</v>
      </c>
      <c r="W16" s="69"/>
      <c r="X16" s="127"/>
      <c r="Y16" s="74" t="str">
        <f t="shared" si="108"/>
        <v>Poland</v>
      </c>
      <c r="Z16" s="333">
        <v>2</v>
      </c>
      <c r="AA16" s="334">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333">
        <v>1</v>
      </c>
      <c r="BE16" s="334">
        <v>1</v>
      </c>
      <c r="BF16" s="76" t="str">
        <f t="shared" si="121"/>
        <v>Netherlands</v>
      </c>
      <c r="BI16" s="77">
        <f t="shared" si="122"/>
        <v>0</v>
      </c>
      <c r="BJ16" s="78">
        <f t="shared" si="123"/>
        <v>0</v>
      </c>
      <c r="BK16" s="69"/>
      <c r="BL16" s="127"/>
      <c r="BM16" s="74" t="str">
        <f t="shared" si="124"/>
        <v>Poland</v>
      </c>
      <c r="BN16" s="333">
        <v>1</v>
      </c>
      <c r="BO16" s="334">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104</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2</v>
      </c>
      <c r="Q17" s="331">
        <v>2</v>
      </c>
      <c r="R17" s="76" t="str">
        <f t="shared" si="105"/>
        <v>France</v>
      </c>
      <c r="U17" s="77">
        <f t="shared" si="106"/>
        <v>0</v>
      </c>
      <c r="V17" s="78">
        <f t="shared" si="107"/>
        <v>0</v>
      </c>
      <c r="W17" s="69"/>
      <c r="X17" s="127"/>
      <c r="Y17" s="74" t="str">
        <f t="shared" si="108"/>
        <v>Austria</v>
      </c>
      <c r="Z17" s="333">
        <v>0</v>
      </c>
      <c r="AA17" s="334">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333">
        <v>0</v>
      </c>
      <c r="BE17" s="334">
        <v>2</v>
      </c>
      <c r="BF17" s="76" t="str">
        <f t="shared" si="121"/>
        <v>France</v>
      </c>
      <c r="BI17" s="77">
        <f t="shared" si="122"/>
        <v>0</v>
      </c>
      <c r="BJ17" s="78">
        <f t="shared" si="123"/>
        <v>2</v>
      </c>
      <c r="BK17" s="69"/>
      <c r="BL17" s="127"/>
      <c r="BM17" s="74" t="str">
        <f t="shared" si="124"/>
        <v>Austria</v>
      </c>
      <c r="BN17" s="333">
        <v>0</v>
      </c>
      <c r="BO17" s="334">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105</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2</v>
      </c>
      <c r="Q18" s="331">
        <v>1</v>
      </c>
      <c r="R18" s="76" t="str">
        <f t="shared" si="105"/>
        <v>Slovakia</v>
      </c>
      <c r="U18" s="77">
        <f t="shared" si="106"/>
        <v>0</v>
      </c>
      <c r="V18" s="78">
        <f t="shared" si="107"/>
        <v>0</v>
      </c>
      <c r="W18" s="69"/>
      <c r="X18" s="127"/>
      <c r="Y18" s="74" t="str">
        <f t="shared" si="108"/>
        <v>Belgium</v>
      </c>
      <c r="Z18" s="333">
        <v>2</v>
      </c>
      <c r="AA18" s="334">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333">
        <v>1</v>
      </c>
      <c r="BE18" s="334">
        <v>0</v>
      </c>
      <c r="BF18" s="76" t="str">
        <f t="shared" si="121"/>
        <v>Slovakia</v>
      </c>
      <c r="BI18" s="77">
        <f t="shared" si="122"/>
        <v>0</v>
      </c>
      <c r="BJ18" s="78">
        <f t="shared" si="123"/>
        <v>0</v>
      </c>
      <c r="BK18" s="69"/>
      <c r="BL18" s="127"/>
      <c r="BM18" s="74" t="str">
        <f t="shared" si="124"/>
        <v>Belgium</v>
      </c>
      <c r="BN18" s="333">
        <v>3</v>
      </c>
      <c r="BO18" s="334">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105</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1</v>
      </c>
      <c r="Q19" s="331">
        <v>1</v>
      </c>
      <c r="R19" s="76" t="str">
        <f t="shared" si="105"/>
        <v>Ukraine</v>
      </c>
      <c r="U19" s="77">
        <f t="shared" si="106"/>
        <v>0</v>
      </c>
      <c r="V19" s="78">
        <f t="shared" si="107"/>
        <v>0</v>
      </c>
      <c r="W19" s="69"/>
      <c r="X19" s="127"/>
      <c r="Y19" s="74" t="str">
        <f t="shared" si="108"/>
        <v>Romania</v>
      </c>
      <c r="Z19" s="333">
        <v>2</v>
      </c>
      <c r="AA19" s="334">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333">
        <v>1</v>
      </c>
      <c r="BE19" s="334">
        <v>1</v>
      </c>
      <c r="BF19" s="76" t="str">
        <f t="shared" si="121"/>
        <v>Ukraine</v>
      </c>
      <c r="BI19" s="77">
        <f t="shared" si="122"/>
        <v>0</v>
      </c>
      <c r="BJ19" s="78">
        <f t="shared" si="123"/>
        <v>0</v>
      </c>
      <c r="BK19" s="69"/>
      <c r="BL19" s="127"/>
      <c r="BM19" s="74" t="str">
        <f t="shared" si="124"/>
        <v>Romania</v>
      </c>
      <c r="BN19" s="333">
        <v>1</v>
      </c>
      <c r="BO19" s="334">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106</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5</v>
      </c>
      <c r="Q20" s="331">
        <v>0</v>
      </c>
      <c r="R20" s="76" t="str">
        <f t="shared" si="105"/>
        <v>Georgia</v>
      </c>
      <c r="U20" s="77">
        <f t="shared" si="106"/>
        <v>0</v>
      </c>
      <c r="V20" s="78">
        <f t="shared" si="107"/>
        <v>2</v>
      </c>
      <c r="W20" s="69"/>
      <c r="X20" s="127"/>
      <c r="Y20" s="74" t="str">
        <f t="shared" si="108"/>
        <v>Türkiye</v>
      </c>
      <c r="Z20" s="333">
        <v>2</v>
      </c>
      <c r="AA20" s="334">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333">
        <v>2</v>
      </c>
      <c r="BE20" s="334">
        <v>0</v>
      </c>
      <c r="BF20" s="76" t="str">
        <f t="shared" si="121"/>
        <v>Georgia</v>
      </c>
      <c r="BI20" s="77">
        <f t="shared" si="122"/>
        <v>0</v>
      </c>
      <c r="BJ20" s="78">
        <f t="shared" si="123"/>
        <v>4</v>
      </c>
      <c r="BK20" s="69"/>
      <c r="BL20" s="127"/>
      <c r="BM20" s="74" t="str">
        <f t="shared" si="124"/>
        <v>Türkiye</v>
      </c>
      <c r="BN20" s="333">
        <v>2</v>
      </c>
      <c r="BO20" s="334">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106</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1</v>
      </c>
      <c r="R21" s="76" t="str">
        <f t="shared" si="105"/>
        <v>Czechia</v>
      </c>
      <c r="U21" s="77">
        <f t="shared" si="106"/>
        <v>0</v>
      </c>
      <c r="V21" s="78">
        <f t="shared" si="107"/>
        <v>2</v>
      </c>
      <c r="W21" s="69"/>
      <c r="X21" s="127"/>
      <c r="Y21" s="74" t="str">
        <f t="shared" si="108"/>
        <v>Portugal</v>
      </c>
      <c r="Z21" s="333">
        <v>1</v>
      </c>
      <c r="AA21" s="334">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333">
        <v>3</v>
      </c>
      <c r="BE21" s="334">
        <v>1</v>
      </c>
      <c r="BF21" s="76" t="str">
        <f t="shared" si="121"/>
        <v>Czechia</v>
      </c>
      <c r="BI21" s="77">
        <f t="shared" si="122"/>
        <v>0</v>
      </c>
      <c r="BJ21" s="78">
        <f t="shared" si="123"/>
        <v>2</v>
      </c>
      <c r="BK21" s="69"/>
      <c r="BL21" s="127"/>
      <c r="BM21" s="74" t="str">
        <f t="shared" si="124"/>
        <v>Portugal</v>
      </c>
      <c r="BN21" s="333">
        <v>3</v>
      </c>
      <c r="BO21" s="334">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101</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2</v>
      </c>
      <c r="R22" s="76" t="str">
        <f t="shared" si="105"/>
        <v>Switzerland</v>
      </c>
      <c r="U22" s="77">
        <f t="shared" si="106"/>
        <v>0</v>
      </c>
      <c r="V22" s="78">
        <f t="shared" si="107"/>
        <v>4</v>
      </c>
      <c r="W22" s="69"/>
      <c r="X22" s="127"/>
      <c r="Y22" s="74" t="str">
        <f t="shared" si="108"/>
        <v>Scotland</v>
      </c>
      <c r="Z22" s="333">
        <v>1</v>
      </c>
      <c r="AA22" s="334">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333">
        <v>3</v>
      </c>
      <c r="BE22" s="334">
        <v>2</v>
      </c>
      <c r="BF22" s="76" t="str">
        <f t="shared" si="121"/>
        <v>Switzerland</v>
      </c>
      <c r="BI22" s="77">
        <f t="shared" si="122"/>
        <v>0</v>
      </c>
      <c r="BJ22" s="78">
        <f t="shared" si="123"/>
        <v>0</v>
      </c>
      <c r="BK22" s="69"/>
      <c r="BL22" s="127"/>
      <c r="BM22" s="74" t="str">
        <f t="shared" si="124"/>
        <v>Scotland</v>
      </c>
      <c r="BN22" s="333">
        <v>1</v>
      </c>
      <c r="BO22" s="334">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101</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3</v>
      </c>
      <c r="Q23" s="331">
        <v>0</v>
      </c>
      <c r="R23" s="76" t="str">
        <f t="shared" si="105"/>
        <v>Hungary</v>
      </c>
      <c r="U23" s="77">
        <f t="shared" si="106"/>
        <v>0</v>
      </c>
      <c r="V23" s="78">
        <f t="shared" si="107"/>
        <v>2</v>
      </c>
      <c r="W23" s="69"/>
      <c r="X23" s="127"/>
      <c r="Y23" s="74" t="str">
        <f t="shared" si="108"/>
        <v>Germany</v>
      </c>
      <c r="Z23" s="333">
        <v>1</v>
      </c>
      <c r="AA23" s="334">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333">
        <v>4</v>
      </c>
      <c r="BE23" s="334">
        <v>0</v>
      </c>
      <c r="BF23" s="76" t="str">
        <f t="shared" si="121"/>
        <v>Hungary</v>
      </c>
      <c r="BI23" s="77">
        <f t="shared" si="122"/>
        <v>0</v>
      </c>
      <c r="BJ23" s="78">
        <f t="shared" si="123"/>
        <v>2</v>
      </c>
      <c r="BK23" s="69"/>
      <c r="BL23" s="127"/>
      <c r="BM23" s="74" t="str">
        <f t="shared" si="124"/>
        <v>Germany</v>
      </c>
      <c r="BN23" s="333">
        <v>2</v>
      </c>
      <c r="BO23" s="334">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102</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2</v>
      </c>
      <c r="Q24" s="331">
        <v>0</v>
      </c>
      <c r="R24" s="76" t="str">
        <f t="shared" si="105"/>
        <v>Albania</v>
      </c>
      <c r="U24" s="77">
        <f t="shared" si="106"/>
        <v>0</v>
      </c>
      <c r="V24" s="78">
        <f t="shared" si="107"/>
        <v>0</v>
      </c>
      <c r="W24" s="69"/>
      <c r="X24" s="127"/>
      <c r="Y24" s="74" t="str">
        <f t="shared" si="108"/>
        <v>Croatia</v>
      </c>
      <c r="Z24" s="333">
        <v>3</v>
      </c>
      <c r="AA24" s="334">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333">
        <v>2</v>
      </c>
      <c r="BE24" s="334">
        <v>0</v>
      </c>
      <c r="BF24" s="76" t="str">
        <f t="shared" si="121"/>
        <v>Albania</v>
      </c>
      <c r="BI24" s="77">
        <f t="shared" si="122"/>
        <v>0</v>
      </c>
      <c r="BJ24" s="78">
        <f t="shared" si="123"/>
        <v>0</v>
      </c>
      <c r="BK24" s="69"/>
      <c r="BL24" s="127"/>
      <c r="BM24" s="74" t="str">
        <f t="shared" si="124"/>
        <v>Croatia</v>
      </c>
      <c r="BN24" s="333">
        <v>2</v>
      </c>
      <c r="BO24" s="334">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102</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0</v>
      </c>
      <c r="AA25" s="334">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333">
        <v>1</v>
      </c>
      <c r="BE25" s="334">
        <v>2</v>
      </c>
      <c r="BF25" s="76" t="str">
        <f t="shared" si="121"/>
        <v>Italy</v>
      </c>
      <c r="BI25" s="77">
        <f t="shared" si="122"/>
        <v>0</v>
      </c>
      <c r="BJ25" s="78">
        <f t="shared" si="123"/>
        <v>0</v>
      </c>
      <c r="BK25" s="69"/>
      <c r="BL25" s="127"/>
      <c r="BM25" s="74" t="str">
        <f t="shared" si="124"/>
        <v>Spain</v>
      </c>
      <c r="BN25" s="333">
        <v>1</v>
      </c>
      <c r="BO25" s="334">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103</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3</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333">
        <v>1</v>
      </c>
      <c r="BE26" s="334">
        <v>1</v>
      </c>
      <c r="BF26" s="76" t="str">
        <f t="shared" si="121"/>
        <v>England</v>
      </c>
      <c r="BI26" s="77">
        <f t="shared" si="122"/>
        <v>1</v>
      </c>
      <c r="BJ26" s="78">
        <f t="shared" si="123"/>
        <v>6</v>
      </c>
      <c r="BK26" s="69"/>
      <c r="BL26" s="127"/>
      <c r="BM26" s="74" t="str">
        <f t="shared" si="124"/>
        <v>Denmark</v>
      </c>
      <c r="BN26" s="333">
        <v>1</v>
      </c>
      <c r="BO26" s="334">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103</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1</v>
      </c>
      <c r="R27" s="76" t="str">
        <f t="shared" si="105"/>
        <v>Serbia</v>
      </c>
      <c r="U27" s="77">
        <f t="shared" si="106"/>
        <v>1</v>
      </c>
      <c r="V27" s="78">
        <f t="shared" si="107"/>
        <v>6</v>
      </c>
      <c r="W27" s="69"/>
      <c r="X27" s="127"/>
      <c r="Y27" s="74" t="str">
        <f t="shared" si="108"/>
        <v>Slovenia</v>
      </c>
      <c r="Z27" s="333">
        <v>1</v>
      </c>
      <c r="AA27" s="334">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333">
        <v>0</v>
      </c>
      <c r="BE27" s="334">
        <v>2</v>
      </c>
      <c r="BF27" s="76" t="str">
        <f t="shared" si="121"/>
        <v>Serbia</v>
      </c>
      <c r="BI27" s="77">
        <f t="shared" si="122"/>
        <v>0</v>
      </c>
      <c r="BJ27" s="78">
        <f t="shared" si="123"/>
        <v>0</v>
      </c>
      <c r="BK27" s="69"/>
      <c r="BL27" s="127"/>
      <c r="BM27" s="74" t="str">
        <f t="shared" si="124"/>
        <v>Slovenia</v>
      </c>
      <c r="BN27" s="333">
        <v>1</v>
      </c>
      <c r="BO27" s="334">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104</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2</v>
      </c>
      <c r="R28" s="76" t="str">
        <f t="shared" si="105"/>
        <v>Austria</v>
      </c>
      <c r="U28" s="77">
        <f t="shared" si="106"/>
        <v>0</v>
      </c>
      <c r="V28" s="78">
        <f t="shared" si="107"/>
        <v>2</v>
      </c>
      <c r="W28" s="69"/>
      <c r="X28" s="127"/>
      <c r="Y28" s="74" t="str">
        <f t="shared" si="108"/>
        <v>Poland</v>
      </c>
      <c r="Z28" s="333">
        <v>1</v>
      </c>
      <c r="AA28" s="334">
        <v>0</v>
      </c>
      <c r="AB28" s="76" t="str">
        <f t="shared" si="109"/>
        <v>Austria</v>
      </c>
      <c r="AE28" s="77">
        <f t="shared" si="110"/>
        <v>0</v>
      </c>
      <c r="AF28" s="78">
        <f t="shared" si="111"/>
        <v>0</v>
      </c>
      <c r="AG28" s="69"/>
      <c r="AH28" s="127"/>
      <c r="AI28" s="74" t="str">
        <f t="shared" si="112"/>
        <v>Poland</v>
      </c>
      <c r="AJ28" s="75">
        <v>1</v>
      </c>
      <c r="AK28" s="75">
        <v>1</v>
      </c>
      <c r="AL28" s="76" t="str">
        <f t="shared" si="113"/>
        <v>Austria</v>
      </c>
      <c r="AO28" s="77">
        <f t="shared" si="114"/>
        <v>0</v>
      </c>
      <c r="AP28" s="78">
        <f t="shared" si="115"/>
        <v>0</v>
      </c>
      <c r="AQ28" s="69"/>
      <c r="AR28" s="127"/>
      <c r="AS28" s="74" t="str">
        <f t="shared" si="116"/>
        <v>Poland</v>
      </c>
      <c r="AT28" s="75">
        <v>2</v>
      </c>
      <c r="AU28" s="75">
        <v>2</v>
      </c>
      <c r="AV28" s="76" t="str">
        <f t="shared" si="117"/>
        <v>Austria</v>
      </c>
      <c r="AY28" s="77">
        <f t="shared" si="118"/>
        <v>0</v>
      </c>
      <c r="AZ28" s="78">
        <f t="shared" si="119"/>
        <v>0</v>
      </c>
      <c r="BA28" s="69"/>
      <c r="BB28" s="127"/>
      <c r="BC28" s="74" t="str">
        <f t="shared" si="120"/>
        <v>Poland</v>
      </c>
      <c r="BD28" s="333">
        <v>0</v>
      </c>
      <c r="BE28" s="334">
        <v>3</v>
      </c>
      <c r="BF28" s="76" t="str">
        <f t="shared" si="121"/>
        <v>Austria</v>
      </c>
      <c r="BI28" s="77">
        <f t="shared" si="122"/>
        <v>0</v>
      </c>
      <c r="BJ28" s="78">
        <f t="shared" si="123"/>
        <v>2</v>
      </c>
      <c r="BK28" s="69"/>
      <c r="BL28" s="127"/>
      <c r="BM28" s="74" t="str">
        <f t="shared" si="124"/>
        <v>Poland</v>
      </c>
      <c r="BN28" s="333">
        <v>1</v>
      </c>
      <c r="BO28" s="334">
        <v>1</v>
      </c>
      <c r="BP28" s="76" t="str">
        <f t="shared" si="125"/>
        <v>Austria</v>
      </c>
      <c r="BS28" s="77">
        <f t="shared" si="126"/>
        <v>0</v>
      </c>
      <c r="BT28" s="78">
        <f t="shared" si="127"/>
        <v>0</v>
      </c>
      <c r="BU28" s="69"/>
      <c r="BV28" s="127"/>
      <c r="BW28" s="74" t="str">
        <f t="shared" si="128"/>
        <v>Poland</v>
      </c>
      <c r="BX28" s="75">
        <v>1</v>
      </c>
      <c r="BY28" s="75">
        <v>1</v>
      </c>
      <c r="BZ28" s="76" t="str">
        <f t="shared" si="129"/>
        <v>Austria</v>
      </c>
      <c r="CC28" s="77">
        <f t="shared" si="130"/>
        <v>0</v>
      </c>
      <c r="CD28" s="78">
        <f t="shared" si="131"/>
        <v>0</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104</v>
      </c>
      <c r="E29" s="157">
        <f t="shared" si="144"/>
        <v>45464.875</v>
      </c>
      <c r="F29" s="158">
        <v>45464.875</v>
      </c>
      <c r="G29" s="72" t="str">
        <f>Matches!G27</f>
        <v>Netherlands</v>
      </c>
      <c r="H29" s="75"/>
      <c r="I29" s="75"/>
      <c r="J29" s="73" t="str">
        <f>Matches!J27</f>
        <v>France</v>
      </c>
      <c r="K29" s="55"/>
      <c r="L29" s="55"/>
      <c r="M29" s="67"/>
      <c r="N29" s="127"/>
      <c r="O29" s="74" t="str">
        <f t="shared" si="104"/>
        <v>Netherlands</v>
      </c>
      <c r="P29" s="331">
        <v>1</v>
      </c>
      <c r="Q29" s="331">
        <v>2</v>
      </c>
      <c r="R29" s="76" t="str">
        <f t="shared" si="105"/>
        <v>France</v>
      </c>
      <c r="U29" s="77">
        <f t="shared" si="106"/>
        <v>0</v>
      </c>
      <c r="V29" s="78" t="str">
        <f t="shared" si="107"/>
        <v/>
      </c>
      <c r="W29" s="69"/>
      <c r="X29" s="127"/>
      <c r="Y29" s="74" t="str">
        <f t="shared" si="108"/>
        <v>Netherlands</v>
      </c>
      <c r="Z29" s="333">
        <v>0</v>
      </c>
      <c r="AA29" s="334">
        <v>1</v>
      </c>
      <c r="AB29" s="76" t="str">
        <f t="shared" si="109"/>
        <v>France</v>
      </c>
      <c r="AE29" s="77">
        <f t="shared" si="110"/>
        <v>0</v>
      </c>
      <c r="AF29" s="78" t="str">
        <f t="shared" si="111"/>
        <v/>
      </c>
      <c r="AG29" s="69"/>
      <c r="AH29" s="127"/>
      <c r="AI29" s="74" t="str">
        <f t="shared" si="112"/>
        <v>Netherlands</v>
      </c>
      <c r="AJ29" s="75">
        <v>1</v>
      </c>
      <c r="AK29" s="75">
        <v>2</v>
      </c>
      <c r="AL29" s="76" t="str">
        <f t="shared" si="113"/>
        <v>France</v>
      </c>
      <c r="AO29" s="77">
        <f t="shared" si="114"/>
        <v>0</v>
      </c>
      <c r="AP29" s="78" t="str">
        <f t="shared" si="115"/>
        <v/>
      </c>
      <c r="AQ29" s="69"/>
      <c r="AR29" s="127"/>
      <c r="AS29" s="74" t="str">
        <f t="shared" si="116"/>
        <v>Netherlands</v>
      </c>
      <c r="AT29" s="75">
        <v>1</v>
      </c>
      <c r="AU29" s="75">
        <v>2</v>
      </c>
      <c r="AV29" s="76" t="str">
        <f t="shared" si="117"/>
        <v>France</v>
      </c>
      <c r="AY29" s="77">
        <f t="shared" si="118"/>
        <v>0</v>
      </c>
      <c r="AZ29" s="78" t="str">
        <f t="shared" si="119"/>
        <v/>
      </c>
      <c r="BA29" s="69"/>
      <c r="BB29" s="127"/>
      <c r="BC29" s="74" t="str">
        <f t="shared" si="120"/>
        <v>Netherlands</v>
      </c>
      <c r="BD29" s="333">
        <v>2</v>
      </c>
      <c r="BE29" s="334">
        <v>3</v>
      </c>
      <c r="BF29" s="76" t="str">
        <f t="shared" si="121"/>
        <v>France</v>
      </c>
      <c r="BI29" s="77">
        <f t="shared" si="122"/>
        <v>0</v>
      </c>
      <c r="BJ29" s="78" t="str">
        <f t="shared" si="123"/>
        <v/>
      </c>
      <c r="BK29" s="69"/>
      <c r="BL29" s="127"/>
      <c r="BM29" s="74" t="str">
        <f t="shared" si="124"/>
        <v>Netherlands</v>
      </c>
      <c r="BN29" s="333">
        <v>2</v>
      </c>
      <c r="BO29" s="334">
        <v>1</v>
      </c>
      <c r="BP29" s="76" t="str">
        <f t="shared" si="125"/>
        <v>France</v>
      </c>
      <c r="BS29" s="77">
        <f t="shared" si="126"/>
        <v>0</v>
      </c>
      <c r="BT29" s="78" t="str">
        <f t="shared" si="127"/>
        <v/>
      </c>
      <c r="BU29" s="69"/>
      <c r="BV29" s="127"/>
      <c r="BW29" s="74" t="str">
        <f t="shared" si="128"/>
        <v>Netherlands</v>
      </c>
      <c r="BX29" s="75">
        <v>0</v>
      </c>
      <c r="BY29" s="75">
        <v>0</v>
      </c>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105</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1</v>
      </c>
      <c r="Q30" s="331">
        <v>1</v>
      </c>
      <c r="R30" s="76" t="str">
        <f t="shared" si="105"/>
        <v>Ukraine</v>
      </c>
      <c r="U30" s="77">
        <f t="shared" si="106"/>
        <v>0</v>
      </c>
      <c r="V30" s="78">
        <f t="shared" si="107"/>
        <v>0</v>
      </c>
      <c r="W30" s="69"/>
      <c r="X30" s="127"/>
      <c r="Y30" s="74" t="str">
        <f t="shared" si="108"/>
        <v>Slovakia</v>
      </c>
      <c r="Z30" s="333">
        <v>0</v>
      </c>
      <c r="AA30" s="334">
        <v>0</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0</v>
      </c>
      <c r="AU30" s="75">
        <v>1</v>
      </c>
      <c r="AV30" s="76" t="str">
        <f t="shared" si="117"/>
        <v>Ukraine</v>
      </c>
      <c r="AY30" s="77">
        <f t="shared" si="118"/>
        <v>0</v>
      </c>
      <c r="AZ30" s="78">
        <f t="shared" si="119"/>
        <v>4</v>
      </c>
      <c r="BA30" s="69"/>
      <c r="BB30" s="127"/>
      <c r="BC30" s="74" t="str">
        <f t="shared" si="120"/>
        <v>Slovakia</v>
      </c>
      <c r="BD30" s="333">
        <v>1</v>
      </c>
      <c r="BE30" s="334">
        <v>2</v>
      </c>
      <c r="BF30" s="76" t="str">
        <f t="shared" si="121"/>
        <v>Ukraine</v>
      </c>
      <c r="BI30" s="77">
        <f t="shared" si="122"/>
        <v>1</v>
      </c>
      <c r="BJ30" s="78">
        <f t="shared" si="123"/>
        <v>6</v>
      </c>
      <c r="BK30" s="69"/>
      <c r="BL30" s="127"/>
      <c r="BM30" s="74" t="str">
        <f t="shared" si="124"/>
        <v>Slovakia</v>
      </c>
      <c r="BN30" s="333">
        <v>0</v>
      </c>
      <c r="BO30" s="334">
        <v>2</v>
      </c>
      <c r="BP30" s="76" t="str">
        <f t="shared" si="125"/>
        <v>Ukraine</v>
      </c>
      <c r="BS30" s="77">
        <f t="shared" si="126"/>
        <v>0</v>
      </c>
      <c r="BT30" s="78">
        <f t="shared" si="127"/>
        <v>2</v>
      </c>
      <c r="BU30" s="69"/>
      <c r="BV30" s="127"/>
      <c r="BW30" s="74" t="str">
        <f t="shared" si="128"/>
        <v>Slovakia</v>
      </c>
      <c r="BX30" s="75">
        <v>1</v>
      </c>
      <c r="BY30" s="75">
        <v>3</v>
      </c>
      <c r="BZ30" s="76" t="str">
        <f t="shared" si="129"/>
        <v>Ukraine</v>
      </c>
      <c r="CC30" s="77">
        <f t="shared" si="130"/>
        <v>0</v>
      </c>
      <c r="CD30" s="78">
        <f t="shared" si="131"/>
        <v>2</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105</v>
      </c>
      <c r="E31" s="157">
        <f t="shared" si="144"/>
        <v>45465.875</v>
      </c>
      <c r="F31" s="158">
        <v>45465.875</v>
      </c>
      <c r="G31" s="72" t="str">
        <f>Matches!G29</f>
        <v>Belgium</v>
      </c>
      <c r="H31" s="75"/>
      <c r="I31" s="75"/>
      <c r="J31" s="73" t="str">
        <f>Matches!J29</f>
        <v>Romania</v>
      </c>
      <c r="K31" s="55"/>
      <c r="L31" s="55"/>
      <c r="M31" s="67"/>
      <c r="N31" s="127"/>
      <c r="O31" s="74" t="str">
        <f t="shared" si="104"/>
        <v>Belgium</v>
      </c>
      <c r="P31" s="331">
        <v>5</v>
      </c>
      <c r="Q31" s="331">
        <v>1</v>
      </c>
      <c r="R31" s="76" t="str">
        <f t="shared" si="105"/>
        <v>Romania</v>
      </c>
      <c r="U31" s="77">
        <f t="shared" si="106"/>
        <v>0</v>
      </c>
      <c r="V31" s="78" t="str">
        <f t="shared" si="107"/>
        <v/>
      </c>
      <c r="W31" s="69"/>
      <c r="X31" s="127"/>
      <c r="Y31" s="74" t="str">
        <f t="shared" si="108"/>
        <v>Belgium</v>
      </c>
      <c r="Z31" s="333">
        <v>2</v>
      </c>
      <c r="AA31" s="334">
        <v>1</v>
      </c>
      <c r="AB31" s="76" t="str">
        <f t="shared" si="109"/>
        <v>Romania</v>
      </c>
      <c r="AE31" s="77">
        <f t="shared" si="110"/>
        <v>0</v>
      </c>
      <c r="AF31" s="78" t="str">
        <f t="shared" si="111"/>
        <v/>
      </c>
      <c r="AG31" s="69"/>
      <c r="AH31" s="127"/>
      <c r="AI31" s="74" t="str">
        <f t="shared" si="112"/>
        <v>Belgium</v>
      </c>
      <c r="AJ31" s="75">
        <v>0</v>
      </c>
      <c r="AK31" s="75">
        <v>1</v>
      </c>
      <c r="AL31" s="76" t="str">
        <f t="shared" si="113"/>
        <v>Romania</v>
      </c>
      <c r="AO31" s="77">
        <f t="shared" si="114"/>
        <v>0</v>
      </c>
      <c r="AP31" s="78" t="str">
        <f t="shared" si="115"/>
        <v/>
      </c>
      <c r="AQ31" s="69"/>
      <c r="AR31" s="127"/>
      <c r="AS31" s="74" t="str">
        <f t="shared" si="116"/>
        <v>Belgium</v>
      </c>
      <c r="AT31" s="75">
        <v>3</v>
      </c>
      <c r="AU31" s="75">
        <v>1</v>
      </c>
      <c r="AV31" s="76" t="str">
        <f t="shared" si="117"/>
        <v>Romania</v>
      </c>
      <c r="AY31" s="77">
        <f t="shared" si="118"/>
        <v>0</v>
      </c>
      <c r="AZ31" s="78" t="str">
        <f t="shared" si="119"/>
        <v/>
      </c>
      <c r="BA31" s="69"/>
      <c r="BB31" s="127"/>
      <c r="BC31" s="74" t="str">
        <f t="shared" si="120"/>
        <v>Belgium</v>
      </c>
      <c r="BD31" s="333">
        <v>4</v>
      </c>
      <c r="BE31" s="334">
        <v>1</v>
      </c>
      <c r="BF31" s="76" t="str">
        <f t="shared" si="121"/>
        <v>Romania</v>
      </c>
      <c r="BI31" s="77">
        <f t="shared" si="122"/>
        <v>0</v>
      </c>
      <c r="BJ31" s="78" t="str">
        <f t="shared" si="123"/>
        <v/>
      </c>
      <c r="BK31" s="69"/>
      <c r="BL31" s="127"/>
      <c r="BM31" s="74" t="str">
        <f t="shared" si="124"/>
        <v>Belgium</v>
      </c>
      <c r="BN31" s="333">
        <v>2</v>
      </c>
      <c r="BO31" s="334">
        <v>0</v>
      </c>
      <c r="BP31" s="76" t="str">
        <f t="shared" si="125"/>
        <v>Romania</v>
      </c>
      <c r="BS31" s="77">
        <f t="shared" si="126"/>
        <v>0</v>
      </c>
      <c r="BT31" s="78" t="str">
        <f t="shared" si="127"/>
        <v/>
      </c>
      <c r="BU31" s="69"/>
      <c r="BV31" s="127"/>
      <c r="BW31" s="74" t="str">
        <f t="shared" si="128"/>
        <v>Belgium</v>
      </c>
      <c r="BX31" s="75">
        <v>3</v>
      </c>
      <c r="BY31" s="75">
        <v>0</v>
      </c>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106</v>
      </c>
      <c r="E32" s="157">
        <f t="shared" si="144"/>
        <v>45465.75</v>
      </c>
      <c r="F32" s="158">
        <v>45465.75</v>
      </c>
      <c r="G32" s="72" t="str">
        <f>Matches!G30</f>
        <v>Türkiye</v>
      </c>
      <c r="H32" s="75"/>
      <c r="I32" s="75"/>
      <c r="J32" s="73" t="str">
        <f>Matches!J30</f>
        <v>Portugal</v>
      </c>
      <c r="K32" s="55"/>
      <c r="L32" s="55"/>
      <c r="M32" s="67"/>
      <c r="N32" s="127"/>
      <c r="O32" s="74" t="str">
        <f t="shared" si="104"/>
        <v>Türkiye</v>
      </c>
      <c r="P32" s="331">
        <v>1</v>
      </c>
      <c r="Q32" s="331">
        <v>3</v>
      </c>
      <c r="R32" s="76" t="str">
        <f t="shared" si="105"/>
        <v>Portugal</v>
      </c>
      <c r="U32" s="77">
        <f t="shared" si="106"/>
        <v>0</v>
      </c>
      <c r="V32" s="78" t="str">
        <f t="shared" si="107"/>
        <v/>
      </c>
      <c r="W32" s="69"/>
      <c r="X32" s="127"/>
      <c r="Y32" s="74" t="str">
        <f t="shared" si="108"/>
        <v>Türkiye</v>
      </c>
      <c r="Z32" s="333">
        <v>0</v>
      </c>
      <c r="AA32" s="334">
        <v>1</v>
      </c>
      <c r="AB32" s="76" t="str">
        <f t="shared" si="109"/>
        <v>Portugal</v>
      </c>
      <c r="AE32" s="77">
        <f t="shared" si="110"/>
        <v>0</v>
      </c>
      <c r="AF32" s="78" t="str">
        <f t="shared" si="111"/>
        <v/>
      </c>
      <c r="AG32" s="69"/>
      <c r="AH32" s="127"/>
      <c r="AI32" s="74" t="str">
        <f t="shared" si="112"/>
        <v>Türkiye</v>
      </c>
      <c r="AJ32" s="75">
        <v>1</v>
      </c>
      <c r="AK32" s="75">
        <v>1</v>
      </c>
      <c r="AL32" s="76" t="str">
        <f t="shared" si="113"/>
        <v>Portugal</v>
      </c>
      <c r="AO32" s="77">
        <f t="shared" si="114"/>
        <v>0</v>
      </c>
      <c r="AP32" s="78" t="str">
        <f t="shared" si="115"/>
        <v/>
      </c>
      <c r="AQ32" s="69"/>
      <c r="AR32" s="127"/>
      <c r="AS32" s="74" t="str">
        <f t="shared" si="116"/>
        <v>Türkiye</v>
      </c>
      <c r="AT32" s="75">
        <v>1</v>
      </c>
      <c r="AU32" s="75">
        <v>1</v>
      </c>
      <c r="AV32" s="76" t="str">
        <f t="shared" si="117"/>
        <v>Portugal</v>
      </c>
      <c r="AY32" s="77">
        <f t="shared" si="118"/>
        <v>0</v>
      </c>
      <c r="AZ32" s="78" t="str">
        <f t="shared" si="119"/>
        <v/>
      </c>
      <c r="BA32" s="69"/>
      <c r="BB32" s="127"/>
      <c r="BC32" s="74" t="str">
        <f t="shared" si="120"/>
        <v>Türkiye</v>
      </c>
      <c r="BD32" s="333">
        <v>2</v>
      </c>
      <c r="BE32" s="334">
        <v>2</v>
      </c>
      <c r="BF32" s="76" t="str">
        <f t="shared" si="121"/>
        <v>Portugal</v>
      </c>
      <c r="BI32" s="77">
        <f t="shared" si="122"/>
        <v>0</v>
      </c>
      <c r="BJ32" s="78" t="str">
        <f t="shared" si="123"/>
        <v/>
      </c>
      <c r="BK32" s="69"/>
      <c r="BL32" s="127"/>
      <c r="BM32" s="74" t="str">
        <f t="shared" si="124"/>
        <v>Türkiye</v>
      </c>
      <c r="BN32" s="333">
        <v>1</v>
      </c>
      <c r="BO32" s="334">
        <v>3</v>
      </c>
      <c r="BP32" s="76" t="str">
        <f t="shared" si="125"/>
        <v>Portugal</v>
      </c>
      <c r="BS32" s="77">
        <f t="shared" si="126"/>
        <v>0</v>
      </c>
      <c r="BT32" s="78" t="str">
        <f t="shared" si="127"/>
        <v/>
      </c>
      <c r="BU32" s="69"/>
      <c r="BV32" s="127"/>
      <c r="BW32" s="74" t="str">
        <f t="shared" si="128"/>
        <v>Türkiye</v>
      </c>
      <c r="BX32" s="75">
        <v>2</v>
      </c>
      <c r="BY32" s="75">
        <v>2</v>
      </c>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106</v>
      </c>
      <c r="E33" s="157">
        <f t="shared" si="144"/>
        <v>45465.625</v>
      </c>
      <c r="F33" s="158">
        <v>45465.625</v>
      </c>
      <c r="G33" s="72" t="str">
        <f>Matches!G31</f>
        <v>Georgia</v>
      </c>
      <c r="H33" s="75"/>
      <c r="I33" s="75"/>
      <c r="J33" s="73" t="str">
        <f>Matches!J31</f>
        <v>Czechia</v>
      </c>
      <c r="K33" s="55"/>
      <c r="L33" s="55"/>
      <c r="M33" s="67"/>
      <c r="N33" s="127"/>
      <c r="O33" s="74" t="str">
        <f t="shared" si="104"/>
        <v>Georgia</v>
      </c>
      <c r="P33" s="331">
        <v>1</v>
      </c>
      <c r="Q33" s="331">
        <v>2</v>
      </c>
      <c r="R33" s="76" t="str">
        <f t="shared" si="105"/>
        <v>Czechia</v>
      </c>
      <c r="U33" s="77">
        <f t="shared" si="106"/>
        <v>0</v>
      </c>
      <c r="V33" s="78" t="str">
        <f t="shared" si="107"/>
        <v/>
      </c>
      <c r="W33" s="69"/>
      <c r="X33" s="127"/>
      <c r="Y33" s="74" t="str">
        <f t="shared" si="108"/>
        <v>Georgia</v>
      </c>
      <c r="Z33" s="333">
        <v>0</v>
      </c>
      <c r="AA33" s="334">
        <v>2</v>
      </c>
      <c r="AB33" s="76" t="str">
        <f t="shared" si="109"/>
        <v>Czechia</v>
      </c>
      <c r="AE33" s="77">
        <f t="shared" si="110"/>
        <v>0</v>
      </c>
      <c r="AF33" s="78" t="str">
        <f t="shared" si="111"/>
        <v/>
      </c>
      <c r="AG33" s="69"/>
      <c r="AH33" s="127"/>
      <c r="AI33" s="74" t="str">
        <f t="shared" si="112"/>
        <v>Georgia</v>
      </c>
      <c r="AJ33" s="75">
        <v>0</v>
      </c>
      <c r="AK33" s="75">
        <v>1</v>
      </c>
      <c r="AL33" s="76" t="str">
        <f t="shared" si="113"/>
        <v>Czechia</v>
      </c>
      <c r="AO33" s="77">
        <f t="shared" si="114"/>
        <v>0</v>
      </c>
      <c r="AP33" s="78" t="str">
        <f t="shared" si="115"/>
        <v/>
      </c>
      <c r="AQ33" s="69"/>
      <c r="AR33" s="127"/>
      <c r="AS33" s="74" t="str">
        <f t="shared" si="116"/>
        <v>Georgia</v>
      </c>
      <c r="AT33" s="75">
        <v>0</v>
      </c>
      <c r="AU33" s="75">
        <v>1</v>
      </c>
      <c r="AV33" s="76" t="str">
        <f t="shared" si="117"/>
        <v>Czechia</v>
      </c>
      <c r="AY33" s="77">
        <f t="shared" si="118"/>
        <v>0</v>
      </c>
      <c r="AZ33" s="78" t="str">
        <f t="shared" si="119"/>
        <v/>
      </c>
      <c r="BA33" s="69"/>
      <c r="BB33" s="127"/>
      <c r="BC33" s="74" t="str">
        <f t="shared" si="120"/>
        <v>Georgia</v>
      </c>
      <c r="BD33" s="333">
        <v>1</v>
      </c>
      <c r="BE33" s="334">
        <v>1</v>
      </c>
      <c r="BF33" s="76" t="str">
        <f t="shared" si="121"/>
        <v>Czechia</v>
      </c>
      <c r="BI33" s="77">
        <f t="shared" si="122"/>
        <v>0</v>
      </c>
      <c r="BJ33" s="78" t="str">
        <f t="shared" si="123"/>
        <v/>
      </c>
      <c r="BK33" s="69"/>
      <c r="BL33" s="127"/>
      <c r="BM33" s="74" t="str">
        <f t="shared" si="124"/>
        <v>Georgia</v>
      </c>
      <c r="BN33" s="333">
        <v>1</v>
      </c>
      <c r="BO33" s="334">
        <v>3</v>
      </c>
      <c r="BP33" s="76" t="str">
        <f t="shared" si="125"/>
        <v>Czechia</v>
      </c>
      <c r="BS33" s="77">
        <f t="shared" si="126"/>
        <v>0</v>
      </c>
      <c r="BT33" s="78" t="str">
        <f t="shared" si="127"/>
        <v/>
      </c>
      <c r="BU33" s="69"/>
      <c r="BV33" s="127"/>
      <c r="BW33" s="74" t="str">
        <f t="shared" si="128"/>
        <v>Georgia</v>
      </c>
      <c r="BX33" s="75">
        <v>0</v>
      </c>
      <c r="BY33" s="75">
        <v>2</v>
      </c>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101</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2</v>
      </c>
      <c r="Q34" s="331">
        <v>2</v>
      </c>
      <c r="R34" s="76" t="str">
        <f t="shared" si="105"/>
        <v>Germany</v>
      </c>
      <c r="U34" s="77">
        <f t="shared" si="106"/>
        <v>0</v>
      </c>
      <c r="V34" s="78" t="str">
        <f t="shared" si="107"/>
        <v/>
      </c>
      <c r="W34" s="69"/>
      <c r="X34" s="127"/>
      <c r="Y34" s="74" t="str">
        <f t="shared" si="108"/>
        <v>Switzerland</v>
      </c>
      <c r="Z34" s="333">
        <v>0</v>
      </c>
      <c r="AA34" s="334">
        <v>5</v>
      </c>
      <c r="AB34" s="76" t="str">
        <f t="shared" si="109"/>
        <v>Germany</v>
      </c>
      <c r="AE34" s="77">
        <f t="shared" si="110"/>
        <v>0</v>
      </c>
      <c r="AF34" s="78" t="str">
        <f t="shared" si="111"/>
        <v/>
      </c>
      <c r="AG34" s="69"/>
      <c r="AH34" s="127"/>
      <c r="AI34" s="74" t="str">
        <f t="shared" si="112"/>
        <v>Switzerland</v>
      </c>
      <c r="AJ34" s="75">
        <v>0</v>
      </c>
      <c r="AK34" s="75">
        <v>2</v>
      </c>
      <c r="AL34" s="76" t="str">
        <f t="shared" si="113"/>
        <v>Germany</v>
      </c>
      <c r="AO34" s="77">
        <f t="shared" si="114"/>
        <v>0</v>
      </c>
      <c r="AP34" s="78" t="str">
        <f t="shared" si="115"/>
        <v/>
      </c>
      <c r="AQ34" s="69"/>
      <c r="AR34" s="127"/>
      <c r="AS34" s="74" t="str">
        <f t="shared" si="116"/>
        <v>Switzerland</v>
      </c>
      <c r="AT34" s="75">
        <v>2</v>
      </c>
      <c r="AU34" s="75">
        <v>2</v>
      </c>
      <c r="AV34" s="76" t="str">
        <f t="shared" si="117"/>
        <v>Germany</v>
      </c>
      <c r="AY34" s="77">
        <f t="shared" si="118"/>
        <v>0</v>
      </c>
      <c r="AZ34" s="78" t="str">
        <f t="shared" si="119"/>
        <v/>
      </c>
      <c r="BA34" s="69"/>
      <c r="BB34" s="127"/>
      <c r="BC34" s="74" t="str">
        <f t="shared" si="120"/>
        <v>Switzerland</v>
      </c>
      <c r="BD34" s="333">
        <v>1</v>
      </c>
      <c r="BE34" s="334">
        <v>3</v>
      </c>
      <c r="BF34" s="76" t="str">
        <f t="shared" si="121"/>
        <v>Germany</v>
      </c>
      <c r="BI34" s="77">
        <f t="shared" si="122"/>
        <v>0</v>
      </c>
      <c r="BJ34" s="78" t="str">
        <f t="shared" si="123"/>
        <v/>
      </c>
      <c r="BK34" s="69"/>
      <c r="BL34" s="127"/>
      <c r="BM34" s="74" t="str">
        <f t="shared" si="124"/>
        <v>Switzerland</v>
      </c>
      <c r="BN34" s="333">
        <v>1</v>
      </c>
      <c r="BO34" s="334">
        <v>2</v>
      </c>
      <c r="BP34" s="76" t="str">
        <f t="shared" si="125"/>
        <v>Germany</v>
      </c>
      <c r="BS34" s="77">
        <f t="shared" si="126"/>
        <v>0</v>
      </c>
      <c r="BT34" s="78" t="str">
        <f t="shared" si="127"/>
        <v/>
      </c>
      <c r="BU34" s="69"/>
      <c r="BV34" s="127"/>
      <c r="BW34" s="74" t="str">
        <f t="shared" si="128"/>
        <v>Switzerland</v>
      </c>
      <c r="BX34" s="75">
        <v>1</v>
      </c>
      <c r="BY34" s="75">
        <v>3</v>
      </c>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101</v>
      </c>
      <c r="E35" s="157">
        <f t="shared" si="144"/>
        <v>45466.875</v>
      </c>
      <c r="F35" s="158">
        <v>45466.875</v>
      </c>
      <c r="G35" s="72" t="str">
        <f>Matches!G33</f>
        <v>Scotland</v>
      </c>
      <c r="H35" s="75"/>
      <c r="I35" s="75"/>
      <c r="J35" s="73" t="str">
        <f>Matches!J33</f>
        <v>Hungary</v>
      </c>
      <c r="K35" s="55"/>
      <c r="L35" s="55"/>
      <c r="M35" s="67"/>
      <c r="N35" s="127"/>
      <c r="O35" s="74" t="str">
        <f t="shared" si="104"/>
        <v>Scotland</v>
      </c>
      <c r="P35" s="331">
        <v>3</v>
      </c>
      <c r="Q35" s="331">
        <v>1</v>
      </c>
      <c r="R35" s="76" t="str">
        <f t="shared" si="105"/>
        <v>Hungary</v>
      </c>
      <c r="U35" s="77">
        <f t="shared" si="106"/>
        <v>0</v>
      </c>
      <c r="V35" s="78" t="str">
        <f t="shared" si="107"/>
        <v/>
      </c>
      <c r="W35" s="69"/>
      <c r="X35" s="127"/>
      <c r="Y35" s="74" t="str">
        <f t="shared" si="108"/>
        <v>Scotland</v>
      </c>
      <c r="Z35" s="333">
        <v>1</v>
      </c>
      <c r="AA35" s="334">
        <v>1</v>
      </c>
      <c r="AB35" s="76" t="str">
        <f t="shared" si="109"/>
        <v>Hungary</v>
      </c>
      <c r="AE35" s="77">
        <f t="shared" si="110"/>
        <v>0</v>
      </c>
      <c r="AF35" s="78" t="str">
        <f t="shared" si="111"/>
        <v/>
      </c>
      <c r="AG35" s="69"/>
      <c r="AH35" s="127"/>
      <c r="AI35" s="74" t="str">
        <f t="shared" si="112"/>
        <v>Scotland</v>
      </c>
      <c r="AJ35" s="75">
        <v>0</v>
      </c>
      <c r="AK35" s="75">
        <v>1</v>
      </c>
      <c r="AL35" s="76" t="str">
        <f t="shared" si="113"/>
        <v>Hungary</v>
      </c>
      <c r="AO35" s="77">
        <f t="shared" si="114"/>
        <v>0</v>
      </c>
      <c r="AP35" s="78" t="str">
        <f t="shared" si="115"/>
        <v/>
      </c>
      <c r="AQ35" s="69"/>
      <c r="AR35" s="127"/>
      <c r="AS35" s="74" t="str">
        <f t="shared" si="116"/>
        <v>Scotland</v>
      </c>
      <c r="AT35" s="75">
        <v>1</v>
      </c>
      <c r="AU35" s="75">
        <v>0</v>
      </c>
      <c r="AV35" s="76" t="str">
        <f t="shared" si="117"/>
        <v>Hungary</v>
      </c>
      <c r="AY35" s="77">
        <f t="shared" si="118"/>
        <v>0</v>
      </c>
      <c r="AZ35" s="78" t="str">
        <f t="shared" si="119"/>
        <v/>
      </c>
      <c r="BA35" s="69"/>
      <c r="BB35" s="127"/>
      <c r="BC35" s="74" t="str">
        <f t="shared" si="120"/>
        <v>Scotland</v>
      </c>
      <c r="BD35" s="333">
        <v>2</v>
      </c>
      <c r="BE35" s="334">
        <v>1</v>
      </c>
      <c r="BF35" s="76" t="str">
        <f t="shared" si="121"/>
        <v>Hungary</v>
      </c>
      <c r="BI35" s="77">
        <f t="shared" si="122"/>
        <v>0</v>
      </c>
      <c r="BJ35" s="78" t="str">
        <f t="shared" si="123"/>
        <v/>
      </c>
      <c r="BK35" s="69"/>
      <c r="BL35" s="127"/>
      <c r="BM35" s="74" t="str">
        <f t="shared" si="124"/>
        <v>Scotland</v>
      </c>
      <c r="BN35" s="333">
        <v>2</v>
      </c>
      <c r="BO35" s="334">
        <v>1</v>
      </c>
      <c r="BP35" s="76" t="str">
        <f t="shared" si="125"/>
        <v>Hungary</v>
      </c>
      <c r="BS35" s="77">
        <f t="shared" si="126"/>
        <v>0</v>
      </c>
      <c r="BT35" s="78" t="str">
        <f t="shared" si="127"/>
        <v/>
      </c>
      <c r="BU35" s="69"/>
      <c r="BV35" s="127"/>
      <c r="BW35" s="74" t="str">
        <f t="shared" si="128"/>
        <v>Scotland</v>
      </c>
      <c r="BX35" s="75">
        <v>1</v>
      </c>
      <c r="BY35" s="75">
        <v>1</v>
      </c>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102</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4</v>
      </c>
      <c r="R36" s="76" t="str">
        <f t="shared" si="105"/>
        <v>Spain</v>
      </c>
      <c r="U36" s="77">
        <f t="shared" si="106"/>
        <v>0</v>
      </c>
      <c r="V36" s="78" t="str">
        <f t="shared" si="107"/>
        <v/>
      </c>
      <c r="W36" s="69"/>
      <c r="X36" s="127"/>
      <c r="Y36" s="74" t="str">
        <f t="shared" si="108"/>
        <v>Albania</v>
      </c>
      <c r="Z36" s="333">
        <v>0</v>
      </c>
      <c r="AA36" s="334">
        <v>2</v>
      </c>
      <c r="AB36" s="76" t="str">
        <f t="shared" si="109"/>
        <v>Spain</v>
      </c>
      <c r="AE36" s="77">
        <f t="shared" si="110"/>
        <v>0</v>
      </c>
      <c r="AF36" s="78" t="str">
        <f t="shared" si="111"/>
        <v/>
      </c>
      <c r="AG36" s="69"/>
      <c r="AH36" s="127"/>
      <c r="AI36" s="74" t="str">
        <f t="shared" si="112"/>
        <v>Albania</v>
      </c>
      <c r="AJ36" s="75">
        <v>0</v>
      </c>
      <c r="AK36" s="75">
        <v>2</v>
      </c>
      <c r="AL36" s="76" t="str">
        <f t="shared" si="113"/>
        <v>Spain</v>
      </c>
      <c r="AO36" s="77">
        <f t="shared" si="114"/>
        <v>0</v>
      </c>
      <c r="AP36" s="78" t="str">
        <f t="shared" si="115"/>
        <v/>
      </c>
      <c r="AQ36" s="69"/>
      <c r="AR36" s="127"/>
      <c r="AS36" s="74" t="str">
        <f t="shared" si="116"/>
        <v>Albania</v>
      </c>
      <c r="AT36" s="75">
        <v>0</v>
      </c>
      <c r="AU36" s="75">
        <v>5</v>
      </c>
      <c r="AV36" s="76" t="str">
        <f t="shared" si="117"/>
        <v>Spain</v>
      </c>
      <c r="AY36" s="77">
        <f t="shared" si="118"/>
        <v>0</v>
      </c>
      <c r="AZ36" s="78" t="str">
        <f t="shared" si="119"/>
        <v/>
      </c>
      <c r="BA36" s="69"/>
      <c r="BB36" s="127"/>
      <c r="BC36" s="74" t="str">
        <f t="shared" si="120"/>
        <v>Albania</v>
      </c>
      <c r="BD36" s="333">
        <v>0</v>
      </c>
      <c r="BE36" s="334">
        <v>2</v>
      </c>
      <c r="BF36" s="76" t="str">
        <f t="shared" si="121"/>
        <v>Spain</v>
      </c>
      <c r="BI36" s="77">
        <f t="shared" si="122"/>
        <v>0</v>
      </c>
      <c r="BJ36" s="78" t="str">
        <f t="shared" si="123"/>
        <v/>
      </c>
      <c r="BK36" s="69"/>
      <c r="BL36" s="127"/>
      <c r="BM36" s="74" t="str">
        <f t="shared" si="124"/>
        <v>Albania</v>
      </c>
      <c r="BN36" s="333">
        <v>0</v>
      </c>
      <c r="BO36" s="334">
        <v>3</v>
      </c>
      <c r="BP36" s="76" t="str">
        <f t="shared" si="125"/>
        <v>Spain</v>
      </c>
      <c r="BS36" s="77">
        <f t="shared" si="126"/>
        <v>0</v>
      </c>
      <c r="BT36" s="78" t="str">
        <f t="shared" si="127"/>
        <v/>
      </c>
      <c r="BU36" s="69"/>
      <c r="BV36" s="127"/>
      <c r="BW36" s="74" t="str">
        <f t="shared" si="128"/>
        <v>Albania</v>
      </c>
      <c r="BX36" s="75">
        <v>0</v>
      </c>
      <c r="BY36" s="75">
        <v>4</v>
      </c>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102</v>
      </c>
      <c r="E37" s="157">
        <f t="shared" si="144"/>
        <v>45467.875</v>
      </c>
      <c r="F37" s="158">
        <v>45467.875</v>
      </c>
      <c r="G37" s="72" t="str">
        <f>Matches!G35</f>
        <v>Croatia</v>
      </c>
      <c r="H37" s="75"/>
      <c r="I37" s="75"/>
      <c r="J37" s="73" t="str">
        <f>Matches!J35</f>
        <v>Italy</v>
      </c>
      <c r="K37" s="55"/>
      <c r="L37" s="55"/>
      <c r="M37" s="67"/>
      <c r="N37" s="127"/>
      <c r="O37" s="74" t="str">
        <f t="shared" si="104"/>
        <v>Croatia</v>
      </c>
      <c r="P37" s="331">
        <v>2</v>
      </c>
      <c r="Q37" s="331">
        <v>3</v>
      </c>
      <c r="R37" s="76" t="str">
        <f t="shared" si="105"/>
        <v>Italy</v>
      </c>
      <c r="U37" s="77">
        <f t="shared" si="106"/>
        <v>0</v>
      </c>
      <c r="V37" s="78" t="str">
        <f t="shared" si="107"/>
        <v/>
      </c>
      <c r="W37" s="69"/>
      <c r="X37" s="127"/>
      <c r="Y37" s="74" t="str">
        <f t="shared" si="108"/>
        <v>Croatia</v>
      </c>
      <c r="Z37" s="333">
        <v>2</v>
      </c>
      <c r="AA37" s="334">
        <v>2</v>
      </c>
      <c r="AB37" s="76" t="str">
        <f t="shared" si="109"/>
        <v>Italy</v>
      </c>
      <c r="AE37" s="77">
        <f t="shared" si="110"/>
        <v>0</v>
      </c>
      <c r="AF37" s="78" t="str">
        <f t="shared" si="111"/>
        <v/>
      </c>
      <c r="AG37" s="69"/>
      <c r="AH37" s="127"/>
      <c r="AI37" s="74" t="str">
        <f t="shared" si="112"/>
        <v>Croatia</v>
      </c>
      <c r="AJ37" s="75">
        <v>1</v>
      </c>
      <c r="AK37" s="75">
        <v>2</v>
      </c>
      <c r="AL37" s="76" t="str">
        <f t="shared" si="113"/>
        <v>Italy</v>
      </c>
      <c r="AO37" s="77">
        <f t="shared" si="114"/>
        <v>0</v>
      </c>
      <c r="AP37" s="78" t="str">
        <f t="shared" si="115"/>
        <v/>
      </c>
      <c r="AQ37" s="69"/>
      <c r="AR37" s="127"/>
      <c r="AS37" s="74" t="str">
        <f t="shared" si="116"/>
        <v>Croatia</v>
      </c>
      <c r="AT37" s="75">
        <v>1</v>
      </c>
      <c r="AU37" s="75">
        <v>2</v>
      </c>
      <c r="AV37" s="76" t="str">
        <f t="shared" si="117"/>
        <v>Italy</v>
      </c>
      <c r="AY37" s="77">
        <f t="shared" si="118"/>
        <v>0</v>
      </c>
      <c r="AZ37" s="78" t="str">
        <f t="shared" si="119"/>
        <v/>
      </c>
      <c r="BA37" s="69"/>
      <c r="BB37" s="127"/>
      <c r="BC37" s="74" t="str">
        <f t="shared" si="120"/>
        <v>Croatia</v>
      </c>
      <c r="BD37" s="333">
        <v>1</v>
      </c>
      <c r="BE37" s="334">
        <v>1</v>
      </c>
      <c r="BF37" s="76" t="str">
        <f t="shared" si="121"/>
        <v>Italy</v>
      </c>
      <c r="BI37" s="77">
        <f t="shared" si="122"/>
        <v>0</v>
      </c>
      <c r="BJ37" s="78" t="str">
        <f t="shared" si="123"/>
        <v/>
      </c>
      <c r="BK37" s="69"/>
      <c r="BL37" s="127"/>
      <c r="BM37" s="74" t="str">
        <f t="shared" si="124"/>
        <v>Croatia</v>
      </c>
      <c r="BN37" s="333">
        <v>1</v>
      </c>
      <c r="BO37" s="334">
        <v>2</v>
      </c>
      <c r="BP37" s="76" t="str">
        <f t="shared" si="125"/>
        <v>Italy</v>
      </c>
      <c r="BS37" s="77">
        <f t="shared" si="126"/>
        <v>0</v>
      </c>
      <c r="BT37" s="78" t="str">
        <f t="shared" si="127"/>
        <v/>
      </c>
      <c r="BU37" s="69"/>
      <c r="BV37" s="127"/>
      <c r="BW37" s="74" t="str">
        <f t="shared" si="128"/>
        <v>Croatia</v>
      </c>
      <c r="BX37" s="75">
        <v>2</v>
      </c>
      <c r="BY37" s="75">
        <v>1</v>
      </c>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103</v>
      </c>
      <c r="E38" s="157">
        <f t="shared" si="144"/>
        <v>45468.875</v>
      </c>
      <c r="F38" s="158">
        <v>45468.875</v>
      </c>
      <c r="G38" s="72" t="str">
        <f>Matches!G36</f>
        <v>England</v>
      </c>
      <c r="H38" s="75"/>
      <c r="I38" s="75"/>
      <c r="J38" s="73" t="str">
        <f>Matches!J36</f>
        <v>Slovenia</v>
      </c>
      <c r="K38" s="55"/>
      <c r="L38" s="55"/>
      <c r="M38" s="67"/>
      <c r="N38" s="127"/>
      <c r="O38" s="74" t="str">
        <f t="shared" si="104"/>
        <v>England</v>
      </c>
      <c r="P38" s="331">
        <v>3</v>
      </c>
      <c r="Q38" s="331">
        <v>0</v>
      </c>
      <c r="R38" s="76" t="str">
        <f t="shared" si="105"/>
        <v>Slovenia</v>
      </c>
      <c r="U38" s="77">
        <f t="shared" si="106"/>
        <v>0</v>
      </c>
      <c r="V38" s="78" t="str">
        <f t="shared" si="107"/>
        <v/>
      </c>
      <c r="W38" s="69"/>
      <c r="X38" s="127"/>
      <c r="Y38" s="74" t="str">
        <f t="shared" si="108"/>
        <v>England</v>
      </c>
      <c r="Z38" s="333">
        <v>1</v>
      </c>
      <c r="AA38" s="334">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3</v>
      </c>
      <c r="AU38" s="75">
        <v>1</v>
      </c>
      <c r="AV38" s="76" t="str">
        <f t="shared" si="117"/>
        <v>Slovenia</v>
      </c>
      <c r="AY38" s="77">
        <f t="shared" si="118"/>
        <v>0</v>
      </c>
      <c r="AZ38" s="78" t="str">
        <f t="shared" si="119"/>
        <v/>
      </c>
      <c r="BA38" s="69"/>
      <c r="BB38" s="127"/>
      <c r="BC38" s="74" t="str">
        <f t="shared" si="120"/>
        <v>England</v>
      </c>
      <c r="BD38" s="333">
        <v>2</v>
      </c>
      <c r="BE38" s="334">
        <v>0</v>
      </c>
      <c r="BF38" s="76" t="str">
        <f t="shared" si="121"/>
        <v>Slovenia</v>
      </c>
      <c r="BI38" s="77">
        <f t="shared" si="122"/>
        <v>0</v>
      </c>
      <c r="BJ38" s="78" t="str">
        <f t="shared" si="123"/>
        <v/>
      </c>
      <c r="BK38" s="69"/>
      <c r="BL38" s="127"/>
      <c r="BM38" s="74" t="str">
        <f t="shared" si="124"/>
        <v>England</v>
      </c>
      <c r="BN38" s="333">
        <v>3</v>
      </c>
      <c r="BO38" s="334">
        <v>0</v>
      </c>
      <c r="BP38" s="76" t="str">
        <f t="shared" si="125"/>
        <v>Slovenia</v>
      </c>
      <c r="BS38" s="77">
        <f t="shared" si="126"/>
        <v>0</v>
      </c>
      <c r="BT38" s="78" t="str">
        <f t="shared" si="127"/>
        <v/>
      </c>
      <c r="BU38" s="69"/>
      <c r="BV38" s="127"/>
      <c r="BW38" s="74" t="str">
        <f t="shared" si="128"/>
        <v>England</v>
      </c>
      <c r="BX38" s="75">
        <v>2</v>
      </c>
      <c r="BY38" s="75">
        <v>0</v>
      </c>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103</v>
      </c>
      <c r="E39" s="157">
        <f t="shared" si="144"/>
        <v>45468.875</v>
      </c>
      <c r="F39" s="158">
        <v>45468.875</v>
      </c>
      <c r="G39" s="72" t="str">
        <f>Matches!G37</f>
        <v>Denmark</v>
      </c>
      <c r="H39" s="75"/>
      <c r="I39" s="75"/>
      <c r="J39" s="73" t="str">
        <f>Matches!J37</f>
        <v>Serbia</v>
      </c>
      <c r="K39" s="55"/>
      <c r="L39" s="55"/>
      <c r="M39" s="67"/>
      <c r="N39" s="127"/>
      <c r="O39" s="74" t="str">
        <f t="shared" si="104"/>
        <v>Denmark</v>
      </c>
      <c r="P39" s="331">
        <v>3</v>
      </c>
      <c r="Q39" s="331">
        <v>0</v>
      </c>
      <c r="R39" s="76" t="str">
        <f t="shared" si="105"/>
        <v>Serbia</v>
      </c>
      <c r="U39" s="77">
        <f t="shared" si="106"/>
        <v>0</v>
      </c>
      <c r="V39" s="78" t="str">
        <f t="shared" si="107"/>
        <v/>
      </c>
      <c r="W39" s="69"/>
      <c r="X39" s="127"/>
      <c r="Y39" s="74" t="str">
        <f t="shared" si="108"/>
        <v>Denmark</v>
      </c>
      <c r="Z39" s="333">
        <v>1</v>
      </c>
      <c r="AA39" s="334">
        <v>1</v>
      </c>
      <c r="AB39" s="76" t="str">
        <f t="shared" si="109"/>
        <v>Serbia</v>
      </c>
      <c r="AE39" s="77">
        <f t="shared" si="110"/>
        <v>0</v>
      </c>
      <c r="AF39" s="78" t="str">
        <f t="shared" si="111"/>
        <v/>
      </c>
      <c r="AG39" s="69"/>
      <c r="AH39" s="127"/>
      <c r="AI39" s="74" t="str">
        <f t="shared" si="112"/>
        <v>Denmark</v>
      </c>
      <c r="AJ39" s="75">
        <v>0</v>
      </c>
      <c r="AK39" s="75">
        <v>0</v>
      </c>
      <c r="AL39" s="76" t="str">
        <f t="shared" si="113"/>
        <v>Serbia</v>
      </c>
      <c r="AO39" s="77">
        <f t="shared" si="114"/>
        <v>0</v>
      </c>
      <c r="AP39" s="78" t="str">
        <f t="shared" si="115"/>
        <v/>
      </c>
      <c r="AQ39" s="69"/>
      <c r="AR39" s="127"/>
      <c r="AS39" s="74" t="str">
        <f t="shared" si="116"/>
        <v>Denmark</v>
      </c>
      <c r="AT39" s="75">
        <v>1</v>
      </c>
      <c r="AU39" s="75">
        <v>0</v>
      </c>
      <c r="AV39" s="76" t="str">
        <f t="shared" si="117"/>
        <v>Serbia</v>
      </c>
      <c r="AY39" s="77">
        <f t="shared" si="118"/>
        <v>0</v>
      </c>
      <c r="AZ39" s="78" t="str">
        <f t="shared" si="119"/>
        <v/>
      </c>
      <c r="BA39" s="69"/>
      <c r="BB39" s="127"/>
      <c r="BC39" s="74" t="str">
        <f t="shared" si="120"/>
        <v>Denmark</v>
      </c>
      <c r="BD39" s="333">
        <v>2</v>
      </c>
      <c r="BE39" s="334">
        <v>1</v>
      </c>
      <c r="BF39" s="76" t="str">
        <f t="shared" si="121"/>
        <v>Serbia</v>
      </c>
      <c r="BI39" s="77">
        <f t="shared" si="122"/>
        <v>0</v>
      </c>
      <c r="BJ39" s="78" t="str">
        <f t="shared" si="123"/>
        <v/>
      </c>
      <c r="BK39" s="69"/>
      <c r="BL39" s="127"/>
      <c r="BM39" s="74" t="str">
        <f t="shared" si="124"/>
        <v>Denmark</v>
      </c>
      <c r="BN39" s="333">
        <v>2</v>
      </c>
      <c r="BO39" s="334">
        <v>1</v>
      </c>
      <c r="BP39" s="76" t="str">
        <f t="shared" si="125"/>
        <v>Serbia</v>
      </c>
      <c r="BS39" s="77">
        <f t="shared" si="126"/>
        <v>0</v>
      </c>
      <c r="BT39" s="78" t="str">
        <f t="shared" si="127"/>
        <v/>
      </c>
      <c r="BU39" s="69"/>
      <c r="BV39" s="127"/>
      <c r="BW39" s="74" t="str">
        <f t="shared" si="128"/>
        <v>Denmark</v>
      </c>
      <c r="BX39" s="75">
        <v>2</v>
      </c>
      <c r="BY39" s="75">
        <v>2</v>
      </c>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104</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3</v>
      </c>
      <c r="Q40" s="331">
        <v>1</v>
      </c>
      <c r="R40" s="76" t="str">
        <f t="shared" si="105"/>
        <v>Austria</v>
      </c>
      <c r="U40" s="77">
        <f t="shared" si="106"/>
        <v>0</v>
      </c>
      <c r="V40" s="78" t="str">
        <f t="shared" si="107"/>
        <v/>
      </c>
      <c r="W40" s="69"/>
      <c r="X40" s="127"/>
      <c r="Y40" s="74" t="str">
        <f t="shared" si="108"/>
        <v>Netherlands</v>
      </c>
      <c r="Z40" s="333">
        <v>1</v>
      </c>
      <c r="AA40" s="334">
        <v>1</v>
      </c>
      <c r="AB40" s="76" t="str">
        <f t="shared" si="109"/>
        <v>Austria</v>
      </c>
      <c r="AE40" s="77">
        <f t="shared" si="110"/>
        <v>0</v>
      </c>
      <c r="AF40" s="78" t="str">
        <f t="shared" si="111"/>
        <v/>
      </c>
      <c r="AG40" s="69"/>
      <c r="AH40" s="127"/>
      <c r="AI40" s="74" t="str">
        <f t="shared" si="112"/>
        <v>Netherlands</v>
      </c>
      <c r="AJ40" s="75">
        <v>1</v>
      </c>
      <c r="AK40" s="75">
        <v>1</v>
      </c>
      <c r="AL40" s="76" t="str">
        <f t="shared" si="113"/>
        <v>Austria</v>
      </c>
      <c r="AO40" s="77">
        <f t="shared" si="114"/>
        <v>0</v>
      </c>
      <c r="AP40" s="78" t="str">
        <f t="shared" si="115"/>
        <v/>
      </c>
      <c r="AQ40" s="69"/>
      <c r="AR40" s="127"/>
      <c r="AS40" s="74" t="str">
        <f t="shared" si="116"/>
        <v>Netherlands</v>
      </c>
      <c r="AT40" s="75">
        <v>1</v>
      </c>
      <c r="AU40" s="75">
        <v>0</v>
      </c>
      <c r="AV40" s="76" t="str">
        <f t="shared" si="117"/>
        <v>Austria</v>
      </c>
      <c r="AY40" s="77">
        <f t="shared" si="118"/>
        <v>0</v>
      </c>
      <c r="AZ40" s="78" t="str">
        <f t="shared" si="119"/>
        <v/>
      </c>
      <c r="BA40" s="69"/>
      <c r="BB40" s="127"/>
      <c r="BC40" s="74" t="str">
        <f t="shared" si="120"/>
        <v>Netherlands</v>
      </c>
      <c r="BD40" s="333">
        <v>1</v>
      </c>
      <c r="BE40" s="334">
        <v>0</v>
      </c>
      <c r="BF40" s="76" t="str">
        <f t="shared" si="121"/>
        <v>Austria</v>
      </c>
      <c r="BI40" s="77">
        <f t="shared" si="122"/>
        <v>0</v>
      </c>
      <c r="BJ40" s="78" t="str">
        <f t="shared" si="123"/>
        <v/>
      </c>
      <c r="BK40" s="69"/>
      <c r="BL40" s="127"/>
      <c r="BM40" s="74" t="str">
        <f t="shared" si="124"/>
        <v>Netherlands</v>
      </c>
      <c r="BN40" s="333">
        <v>1</v>
      </c>
      <c r="BO40" s="334">
        <v>1</v>
      </c>
      <c r="BP40" s="76" t="str">
        <f t="shared" si="125"/>
        <v>Austria</v>
      </c>
      <c r="BS40" s="77">
        <f t="shared" si="126"/>
        <v>0</v>
      </c>
      <c r="BT40" s="78" t="str">
        <f t="shared" si="127"/>
        <v/>
      </c>
      <c r="BU40" s="69"/>
      <c r="BV40" s="127"/>
      <c r="BW40" s="74" t="str">
        <f t="shared" si="128"/>
        <v>Netherlands</v>
      </c>
      <c r="BX40" s="75">
        <v>3</v>
      </c>
      <c r="BY40" s="75">
        <v>1</v>
      </c>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104</v>
      </c>
      <c r="E41" s="157">
        <f t="shared" si="144"/>
        <v>45468.75</v>
      </c>
      <c r="F41" s="158">
        <v>45468.75</v>
      </c>
      <c r="G41" s="72" t="str">
        <f>Matches!G39</f>
        <v>France</v>
      </c>
      <c r="H41" s="75"/>
      <c r="I41" s="75"/>
      <c r="J41" s="73" t="str">
        <f>Matches!J39</f>
        <v>Poland</v>
      </c>
      <c r="K41" s="55"/>
      <c r="L41" s="55"/>
      <c r="M41" s="67"/>
      <c r="N41" s="127"/>
      <c r="O41" s="74" t="str">
        <f t="shared" si="104"/>
        <v>France</v>
      </c>
      <c r="P41" s="331">
        <v>5</v>
      </c>
      <c r="Q41" s="331">
        <v>1</v>
      </c>
      <c r="R41" s="76" t="str">
        <f t="shared" si="105"/>
        <v>Poland</v>
      </c>
      <c r="U41" s="77">
        <f t="shared" si="106"/>
        <v>0</v>
      </c>
      <c r="V41" s="78" t="str">
        <f t="shared" si="107"/>
        <v/>
      </c>
      <c r="W41" s="69"/>
      <c r="X41" s="127"/>
      <c r="Y41" s="74" t="str">
        <f t="shared" si="108"/>
        <v>France</v>
      </c>
      <c r="Z41" s="333">
        <v>1</v>
      </c>
      <c r="AA41" s="334">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1</v>
      </c>
      <c r="AU41" s="75">
        <v>0</v>
      </c>
      <c r="AV41" s="76" t="str">
        <f t="shared" si="117"/>
        <v>Poland</v>
      </c>
      <c r="AY41" s="77">
        <f t="shared" si="118"/>
        <v>0</v>
      </c>
      <c r="AZ41" s="78" t="str">
        <f t="shared" si="119"/>
        <v/>
      </c>
      <c r="BA41" s="69"/>
      <c r="BB41" s="127"/>
      <c r="BC41" s="74" t="str">
        <f t="shared" si="120"/>
        <v>France</v>
      </c>
      <c r="BD41" s="333">
        <v>3</v>
      </c>
      <c r="BE41" s="334">
        <v>0</v>
      </c>
      <c r="BF41" s="76" t="str">
        <f t="shared" si="121"/>
        <v>Poland</v>
      </c>
      <c r="BI41" s="77">
        <f t="shared" si="122"/>
        <v>0</v>
      </c>
      <c r="BJ41" s="78" t="str">
        <f t="shared" si="123"/>
        <v/>
      </c>
      <c r="BK41" s="69"/>
      <c r="BL41" s="127"/>
      <c r="BM41" s="74" t="str">
        <f t="shared" si="124"/>
        <v>France</v>
      </c>
      <c r="BN41" s="333">
        <v>2</v>
      </c>
      <c r="BO41" s="334">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105</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v>0</v>
      </c>
      <c r="AK42" s="75">
        <v>1</v>
      </c>
      <c r="AL42" s="76" t="str">
        <f t="shared" si="113"/>
        <v>Romania</v>
      </c>
      <c r="AO42" s="77">
        <f t="shared" si="114"/>
        <v>0</v>
      </c>
      <c r="AP42" s="78" t="str">
        <f t="shared" si="115"/>
        <v/>
      </c>
      <c r="AQ42" s="69"/>
      <c r="AR42" s="127"/>
      <c r="AS42" s="74" t="str">
        <f t="shared" si="116"/>
        <v>Slovakia</v>
      </c>
      <c r="AT42" s="75">
        <v>0</v>
      </c>
      <c r="AU42" s="75">
        <v>1</v>
      </c>
      <c r="AV42" s="76" t="str">
        <f t="shared" si="117"/>
        <v>Romania</v>
      </c>
      <c r="AY42" s="77">
        <f t="shared" si="118"/>
        <v>0</v>
      </c>
      <c r="AZ42" s="78" t="str">
        <f t="shared" si="119"/>
        <v/>
      </c>
      <c r="BA42" s="69"/>
      <c r="BB42" s="127"/>
      <c r="BC42" s="74" t="str">
        <f t="shared" si="120"/>
        <v>Slovakia</v>
      </c>
      <c r="BD42" s="333">
        <v>0</v>
      </c>
      <c r="BE42" s="334">
        <v>0</v>
      </c>
      <c r="BF42" s="76" t="str">
        <f t="shared" si="121"/>
        <v>Romania</v>
      </c>
      <c r="BI42" s="77">
        <f t="shared" si="122"/>
        <v>0</v>
      </c>
      <c r="BJ42" s="78" t="str">
        <f t="shared" si="123"/>
        <v/>
      </c>
      <c r="BK42" s="69"/>
      <c r="BL42" s="127"/>
      <c r="BM42" s="74" t="str">
        <f t="shared" si="124"/>
        <v>Slovakia</v>
      </c>
      <c r="BN42" s="333">
        <v>1</v>
      </c>
      <c r="BO42" s="334">
        <v>1</v>
      </c>
      <c r="BP42" s="76" t="str">
        <f t="shared" si="125"/>
        <v>Romania</v>
      </c>
      <c r="BS42" s="77">
        <f t="shared" si="126"/>
        <v>0</v>
      </c>
      <c r="BT42" s="78" t="str">
        <f t="shared" si="127"/>
        <v/>
      </c>
      <c r="BU42" s="69"/>
      <c r="BV42" s="127"/>
      <c r="BW42" s="74" t="str">
        <f t="shared" si="128"/>
        <v>Slovakia</v>
      </c>
      <c r="BX42" s="75">
        <v>1</v>
      </c>
      <c r="BY42" s="75">
        <v>1</v>
      </c>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105</v>
      </c>
      <c r="E43" s="157">
        <f t="shared" si="144"/>
        <v>45469.75</v>
      </c>
      <c r="F43" s="158">
        <v>45469.75</v>
      </c>
      <c r="G43" s="72" t="str">
        <f>Matches!G41</f>
        <v>Ukraine</v>
      </c>
      <c r="H43" s="75"/>
      <c r="I43" s="75"/>
      <c r="J43" s="73" t="str">
        <f>Matches!J41</f>
        <v>Belgium</v>
      </c>
      <c r="K43" s="55"/>
      <c r="L43" s="55"/>
      <c r="M43" s="67"/>
      <c r="N43" s="127"/>
      <c r="O43" s="74" t="str">
        <f t="shared" si="104"/>
        <v>Ukraine</v>
      </c>
      <c r="P43" s="331">
        <v>0</v>
      </c>
      <c r="Q43" s="331">
        <v>3</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v>0</v>
      </c>
      <c r="AK43" s="75">
        <v>0</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333">
        <v>1</v>
      </c>
      <c r="BE43" s="334">
        <v>4</v>
      </c>
      <c r="BF43" s="76" t="str">
        <f t="shared" si="121"/>
        <v>Belgium</v>
      </c>
      <c r="BI43" s="77">
        <f t="shared" si="122"/>
        <v>0</v>
      </c>
      <c r="BJ43" s="78" t="str">
        <f t="shared" si="123"/>
        <v/>
      </c>
      <c r="BK43" s="69"/>
      <c r="BL43" s="127"/>
      <c r="BM43" s="74" t="str">
        <f t="shared" si="124"/>
        <v>Ukraine</v>
      </c>
      <c r="BN43" s="333">
        <v>1</v>
      </c>
      <c r="BO43" s="334">
        <v>3</v>
      </c>
      <c r="BP43" s="76" t="str">
        <f t="shared" si="125"/>
        <v>Belgium</v>
      </c>
      <c r="BS43" s="77">
        <f t="shared" si="126"/>
        <v>0</v>
      </c>
      <c r="BT43" s="78" t="str">
        <f t="shared" si="127"/>
        <v/>
      </c>
      <c r="BU43" s="69"/>
      <c r="BV43" s="127"/>
      <c r="BW43" s="74" t="str">
        <f t="shared" si="128"/>
        <v>Ukraine</v>
      </c>
      <c r="BX43" s="75">
        <v>1</v>
      </c>
      <c r="BY43" s="75">
        <v>3</v>
      </c>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106</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6</v>
      </c>
      <c r="R44" s="76" t="str">
        <f t="shared" si="105"/>
        <v>Portugal</v>
      </c>
      <c r="U44" s="77">
        <f t="shared" si="106"/>
        <v>0</v>
      </c>
      <c r="V44" s="78" t="str">
        <f t="shared" si="107"/>
        <v/>
      </c>
      <c r="W44" s="69"/>
      <c r="X44" s="127"/>
      <c r="Y44" s="74" t="str">
        <f t="shared" si="108"/>
        <v>Georgia</v>
      </c>
      <c r="Z44" s="333">
        <v>1</v>
      </c>
      <c r="AA44" s="334">
        <v>2</v>
      </c>
      <c r="AB44" s="76" t="str">
        <f t="shared" si="109"/>
        <v>Portugal</v>
      </c>
      <c r="AE44" s="77">
        <f t="shared" si="110"/>
        <v>0</v>
      </c>
      <c r="AF44" s="78" t="str">
        <f t="shared" si="111"/>
        <v/>
      </c>
      <c r="AG44" s="69"/>
      <c r="AH44" s="127"/>
      <c r="AI44" s="74" t="str">
        <f t="shared" si="112"/>
        <v>Georgia</v>
      </c>
      <c r="AJ44" s="75">
        <v>0</v>
      </c>
      <c r="AK44" s="75">
        <v>1</v>
      </c>
      <c r="AL44" s="76" t="str">
        <f t="shared" si="113"/>
        <v>Portugal</v>
      </c>
      <c r="AO44" s="77">
        <f t="shared" si="114"/>
        <v>0</v>
      </c>
      <c r="AP44" s="78" t="str">
        <f t="shared" si="115"/>
        <v/>
      </c>
      <c r="AQ44" s="69"/>
      <c r="AR44" s="127"/>
      <c r="AS44" s="74" t="str">
        <f t="shared" si="116"/>
        <v>Georgia</v>
      </c>
      <c r="AT44" s="75">
        <v>0</v>
      </c>
      <c r="AU44" s="75">
        <v>6</v>
      </c>
      <c r="AV44" s="76" t="str">
        <f t="shared" si="117"/>
        <v>Portugal</v>
      </c>
      <c r="AY44" s="77">
        <f t="shared" si="118"/>
        <v>0</v>
      </c>
      <c r="AZ44" s="78" t="str">
        <f t="shared" si="119"/>
        <v/>
      </c>
      <c r="BA44" s="69"/>
      <c r="BB44" s="127"/>
      <c r="BC44" s="74" t="str">
        <f t="shared" si="120"/>
        <v>Georgia</v>
      </c>
      <c r="BD44" s="333">
        <v>0</v>
      </c>
      <c r="BE44" s="334">
        <v>4</v>
      </c>
      <c r="BF44" s="76" t="str">
        <f t="shared" si="121"/>
        <v>Portugal</v>
      </c>
      <c r="BI44" s="77">
        <f t="shared" si="122"/>
        <v>0</v>
      </c>
      <c r="BJ44" s="78" t="str">
        <f t="shared" si="123"/>
        <v/>
      </c>
      <c r="BK44" s="69"/>
      <c r="BL44" s="127"/>
      <c r="BM44" s="74" t="str">
        <f t="shared" si="124"/>
        <v>Georgia</v>
      </c>
      <c r="BN44" s="333">
        <v>0</v>
      </c>
      <c r="BO44" s="334">
        <v>4</v>
      </c>
      <c r="BP44" s="76" t="str">
        <f t="shared" si="125"/>
        <v>Portugal</v>
      </c>
      <c r="BS44" s="77">
        <f t="shared" si="126"/>
        <v>0</v>
      </c>
      <c r="BT44" s="78" t="str">
        <f t="shared" si="127"/>
        <v/>
      </c>
      <c r="BU44" s="69"/>
      <c r="BV44" s="127"/>
      <c r="BW44" s="74" t="str">
        <f t="shared" si="128"/>
        <v>Georgia</v>
      </c>
      <c r="BX44" s="75">
        <v>0</v>
      </c>
      <c r="BY44" s="75">
        <v>3</v>
      </c>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106</v>
      </c>
      <c r="E45" s="157">
        <f t="shared" si="144"/>
        <v>45469.875</v>
      </c>
      <c r="F45" s="158">
        <v>45469.875</v>
      </c>
      <c r="G45" s="72" t="str">
        <f>Matches!G43</f>
        <v>Czechia</v>
      </c>
      <c r="H45" s="75"/>
      <c r="I45" s="75"/>
      <c r="J45" s="73" t="str">
        <f>Matches!J43</f>
        <v>Türkiye</v>
      </c>
      <c r="K45" s="55"/>
      <c r="L45" s="55"/>
      <c r="M45" s="67"/>
      <c r="N45" s="127"/>
      <c r="O45" s="74" t="str">
        <f t="shared" si="104"/>
        <v>Czechia</v>
      </c>
      <c r="P45" s="331">
        <v>2</v>
      </c>
      <c r="Q45" s="331">
        <v>2</v>
      </c>
      <c r="R45" s="76" t="str">
        <f t="shared" si="105"/>
        <v>Türkiye</v>
      </c>
      <c r="U45" s="77">
        <f t="shared" si="106"/>
        <v>0</v>
      </c>
      <c r="V45" s="78" t="str">
        <f t="shared" si="107"/>
        <v/>
      </c>
      <c r="W45" s="69"/>
      <c r="X45" s="127"/>
      <c r="Y45" s="74" t="str">
        <f t="shared" si="108"/>
        <v>Czechia</v>
      </c>
      <c r="Z45" s="333">
        <v>2</v>
      </c>
      <c r="AA45" s="334">
        <v>2</v>
      </c>
      <c r="AB45" s="76" t="str">
        <f t="shared" si="109"/>
        <v>Türkiye</v>
      </c>
      <c r="AE45" s="77">
        <f t="shared" si="110"/>
        <v>0</v>
      </c>
      <c r="AF45" s="78" t="str">
        <f t="shared" si="111"/>
        <v/>
      </c>
      <c r="AG45" s="69"/>
      <c r="AH45" s="127"/>
      <c r="AI45" s="74" t="str">
        <f t="shared" si="112"/>
        <v>Czechia</v>
      </c>
      <c r="AJ45" s="75">
        <v>1</v>
      </c>
      <c r="AK45" s="75">
        <v>2</v>
      </c>
      <c r="AL45" s="76" t="str">
        <f t="shared" si="113"/>
        <v>Türkiye</v>
      </c>
      <c r="AO45" s="77">
        <f t="shared" si="114"/>
        <v>0</v>
      </c>
      <c r="AP45" s="78" t="str">
        <f t="shared" si="115"/>
        <v/>
      </c>
      <c r="AQ45" s="69"/>
      <c r="AR45" s="127"/>
      <c r="AS45" s="74" t="str">
        <f t="shared" si="116"/>
        <v>Czechia</v>
      </c>
      <c r="AT45" s="75">
        <v>1</v>
      </c>
      <c r="AU45" s="75">
        <v>1</v>
      </c>
      <c r="AV45" s="76" t="str">
        <f t="shared" si="117"/>
        <v>Türkiye</v>
      </c>
      <c r="AY45" s="77">
        <f t="shared" si="118"/>
        <v>0</v>
      </c>
      <c r="AZ45" s="78" t="str">
        <f t="shared" si="119"/>
        <v/>
      </c>
      <c r="BA45" s="69"/>
      <c r="BB45" s="127"/>
      <c r="BC45" s="74" t="str">
        <f t="shared" si="120"/>
        <v>Czechia</v>
      </c>
      <c r="BD45" s="333">
        <v>1</v>
      </c>
      <c r="BE45" s="334">
        <v>2</v>
      </c>
      <c r="BF45" s="76" t="str">
        <f t="shared" si="121"/>
        <v>Türkiye</v>
      </c>
      <c r="BI45" s="77">
        <f t="shared" si="122"/>
        <v>0</v>
      </c>
      <c r="BJ45" s="78" t="str">
        <f t="shared" si="123"/>
        <v/>
      </c>
      <c r="BK45" s="69"/>
      <c r="BL45" s="127"/>
      <c r="BM45" s="74" t="str">
        <f t="shared" si="124"/>
        <v>Czechia</v>
      </c>
      <c r="BN45" s="333">
        <v>1</v>
      </c>
      <c r="BO45" s="334">
        <v>1</v>
      </c>
      <c r="BP45" s="76" t="str">
        <f t="shared" si="125"/>
        <v>Türkiye</v>
      </c>
      <c r="BS45" s="77">
        <f t="shared" si="126"/>
        <v>0</v>
      </c>
      <c r="BT45" s="78" t="str">
        <f t="shared" si="127"/>
        <v/>
      </c>
      <c r="BU45" s="69"/>
      <c r="BV45" s="127"/>
      <c r="BW45" s="74" t="str">
        <f t="shared" si="128"/>
        <v>Czechia</v>
      </c>
      <c r="BX45" s="75">
        <v>1</v>
      </c>
      <c r="BY45" s="75">
        <v>2</v>
      </c>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94" t="s">
        <v>107</v>
      </c>
      <c r="E50" s="395"/>
      <c r="F50" s="395"/>
      <c r="G50" s="394" t="s">
        <v>108</v>
      </c>
      <c r="H50" s="395"/>
      <c r="I50" s="395" t="s">
        <v>109</v>
      </c>
      <c r="J50" s="395"/>
      <c r="K50" s="66"/>
      <c r="L50" s="66"/>
      <c r="M50" s="67"/>
      <c r="N50" s="86">
        <f ca="1">SUM(W51:W58)</f>
        <v>0</v>
      </c>
      <c r="O50" s="385" t="str">
        <f>D50</f>
        <v>Winner</v>
      </c>
      <c r="P50" s="385"/>
      <c r="Q50" s="385" t="str">
        <f>G50</f>
        <v>Runner Up</v>
      </c>
      <c r="R50" s="385"/>
      <c r="S50" s="385" t="str">
        <f>I50</f>
        <v>Third Place</v>
      </c>
      <c r="T50" s="385"/>
      <c r="U50" s="385"/>
      <c r="V50" s="68"/>
      <c r="W50" s="69"/>
      <c r="X50" s="86">
        <f ca="1">SUM(AG51:AG58)</f>
        <v>0</v>
      </c>
      <c r="Y50" s="385" t="str">
        <f>O50</f>
        <v>Winner</v>
      </c>
      <c r="Z50" s="385"/>
      <c r="AA50" s="385" t="str">
        <f>Q50</f>
        <v>Runner Up</v>
      </c>
      <c r="AB50" s="385"/>
      <c r="AC50" s="385" t="str">
        <f>S50</f>
        <v>Third Place</v>
      </c>
      <c r="AD50" s="385"/>
      <c r="AE50" s="385"/>
      <c r="AF50" s="68"/>
      <c r="AG50" s="69"/>
      <c r="AH50" s="86">
        <f t="shared" ref="AH50" ca="1" si="153">SUM(AQ51:AQ58)</f>
        <v>0</v>
      </c>
      <c r="AI50" s="385" t="str">
        <f t="shared" si="145"/>
        <v>Winner</v>
      </c>
      <c r="AJ50" s="385"/>
      <c r="AK50" s="385" t="str">
        <f t="shared" ref="AK50" si="154">AA50</f>
        <v>Runner Up</v>
      </c>
      <c r="AL50" s="385"/>
      <c r="AM50" s="385" t="str">
        <f t="shared" ref="AM50" si="155">AC50</f>
        <v>Third Place</v>
      </c>
      <c r="AN50" s="385"/>
      <c r="AO50" s="385"/>
      <c r="AP50" s="68"/>
      <c r="AQ50" s="69"/>
      <c r="AR50" s="86">
        <f t="shared" ref="AR50" ca="1" si="156">SUM(BA51:BA58)</f>
        <v>0</v>
      </c>
      <c r="AS50" s="385" t="str">
        <f t="shared" si="146"/>
        <v>Winner</v>
      </c>
      <c r="AT50" s="385"/>
      <c r="AU50" s="385" t="str">
        <f t="shared" ref="AU50" si="157">AK50</f>
        <v>Runner Up</v>
      </c>
      <c r="AV50" s="385"/>
      <c r="AW50" s="385" t="str">
        <f t="shared" ref="AW50" si="158">AM50</f>
        <v>Third Place</v>
      </c>
      <c r="AX50" s="385"/>
      <c r="AY50" s="385"/>
      <c r="AZ50" s="68"/>
      <c r="BA50" s="69"/>
      <c r="BB50" s="86">
        <f t="shared" ref="BB50" ca="1" si="159">SUM(BK51:BK58)</f>
        <v>0</v>
      </c>
      <c r="BC50" s="385" t="str">
        <f t="shared" si="147"/>
        <v>Winner</v>
      </c>
      <c r="BD50" s="385"/>
      <c r="BE50" s="385" t="str">
        <f t="shared" ref="BE50" si="160">AU50</f>
        <v>Runner Up</v>
      </c>
      <c r="BF50" s="385"/>
      <c r="BG50" s="385" t="str">
        <f t="shared" ref="BG50" si="161">AW50</f>
        <v>Third Place</v>
      </c>
      <c r="BH50" s="385"/>
      <c r="BI50" s="385"/>
      <c r="BJ50" s="68"/>
      <c r="BK50" s="69"/>
      <c r="BL50" s="86">
        <f t="shared" ref="BL50" ca="1" si="162">SUM(BU51:BU58)</f>
        <v>0</v>
      </c>
      <c r="BM50" s="385" t="str">
        <f t="shared" si="148"/>
        <v>Winner</v>
      </c>
      <c r="BN50" s="385"/>
      <c r="BO50" s="385" t="str">
        <f t="shared" ref="BO50" si="163">BE50</f>
        <v>Runner Up</v>
      </c>
      <c r="BP50" s="385"/>
      <c r="BQ50" s="385" t="str">
        <f t="shared" ref="BQ50" si="164">BG50</f>
        <v>Third Place</v>
      </c>
      <c r="BR50" s="385"/>
      <c r="BS50" s="385"/>
      <c r="BT50" s="68"/>
      <c r="BU50" s="69"/>
      <c r="BV50" s="86">
        <f t="shared" ref="BV50" ca="1" si="165">SUM(CE51:CE58)</f>
        <v>0</v>
      </c>
      <c r="BW50" s="385" t="str">
        <f t="shared" si="149"/>
        <v>Winner</v>
      </c>
      <c r="BX50" s="385"/>
      <c r="BY50" s="385" t="str">
        <f t="shared" ref="BY50" si="166">BO50</f>
        <v>Runner Up</v>
      </c>
      <c r="BZ50" s="385"/>
      <c r="CA50" s="385" t="str">
        <f t="shared" ref="CA50" si="167">BQ50</f>
        <v>Third Place</v>
      </c>
      <c r="CB50" s="385"/>
      <c r="CC50" s="385"/>
      <c r="CD50" s="68"/>
      <c r="CE50" s="69"/>
      <c r="CF50" s="86">
        <f t="shared" ref="CF50" si="168">SUM(CO51:CO58)</f>
        <v>0</v>
      </c>
      <c r="CG50" s="385" t="str">
        <f t="shared" si="150"/>
        <v>Winner</v>
      </c>
      <c r="CH50" s="385"/>
      <c r="CI50" s="385" t="str">
        <f t="shared" ref="CI50" si="169">BY50</f>
        <v>Runner Up</v>
      </c>
      <c r="CJ50" s="385"/>
      <c r="CK50" s="385" t="str">
        <f t="shared" ref="CK50" si="170">CA50</f>
        <v>Third Place</v>
      </c>
      <c r="CL50" s="385"/>
      <c r="CM50" s="385"/>
      <c r="CN50" s="68"/>
      <c r="CO50" s="69"/>
      <c r="CP50" s="86">
        <f t="shared" ref="CP50" si="171">SUM(CY51:CY58)</f>
        <v>0</v>
      </c>
      <c r="CQ50" s="385" t="str">
        <f t="shared" si="151"/>
        <v>Winner</v>
      </c>
      <c r="CR50" s="385"/>
      <c r="CS50" s="385" t="str">
        <f t="shared" ref="CS50" si="172">CI50</f>
        <v>Runner Up</v>
      </c>
      <c r="CT50" s="385"/>
      <c r="CU50" s="385" t="str">
        <f t="shared" ref="CU50" si="173">CK50</f>
        <v>Third Place</v>
      </c>
      <c r="CV50" s="385"/>
      <c r="CW50" s="385"/>
      <c r="CX50" s="68"/>
      <c r="CY50" s="69"/>
      <c r="CZ50" s="86">
        <f t="shared" ref="CZ50" si="174">SUM(DI51:DI58)</f>
        <v>0</v>
      </c>
      <c r="DA50" s="385" t="str">
        <f t="shared" si="152"/>
        <v>Winner</v>
      </c>
      <c r="DB50" s="385"/>
      <c r="DC50" s="385" t="str">
        <f t="shared" ref="DC50" si="175">CS50</f>
        <v>Runner Up</v>
      </c>
      <c r="DD50" s="385"/>
      <c r="DE50" s="385" t="str">
        <f t="shared" ref="DE50" si="176">CU50</f>
        <v>Third Place</v>
      </c>
      <c r="DF50" s="385"/>
      <c r="DG50" s="385"/>
      <c r="DH50" s="68"/>
      <c r="DI50" s="69"/>
    </row>
    <row r="51" spans="1:113" s="43" customFormat="1" ht="15" customHeight="1" x14ac:dyDescent="0.25">
      <c r="A51" s="41"/>
      <c r="B51" s="65"/>
      <c r="C51" s="87" t="s">
        <v>101</v>
      </c>
      <c r="D51" s="388" t="str">
        <f>Matches!P7</f>
        <v>Germany</v>
      </c>
      <c r="E51" s="388"/>
      <c r="F51" s="388"/>
      <c r="G51" s="388" t="str">
        <f>Matches!P8</f>
        <v>Switzerland</v>
      </c>
      <c r="H51" s="388"/>
      <c r="I51" s="392" t="str">
        <f>IF(ISNA(MATCH(Matches!P9,Qual3,0)),"",Matches!P9)</f>
        <v/>
      </c>
      <c r="J51" s="393"/>
      <c r="K51" s="66"/>
      <c r="L51" s="66"/>
      <c r="M51" s="67"/>
      <c r="N51" s="126">
        <v>0</v>
      </c>
      <c r="O51" s="383" t="str">
        <f ca="1">VLOOKUP(1,OFFSET('Dummy Table'!DY4:DZ7,0,N51),2,FALSE)</f>
        <v>Germany</v>
      </c>
      <c r="P51" s="383"/>
      <c r="Q51" s="383" t="str">
        <f ca="1">VLOOKUP(2,OFFSET('Dummy Table'!DY4:DZ7,0,N51),2,FALSE)</f>
        <v>Switzerland</v>
      </c>
      <c r="R51" s="383"/>
      <c r="S51" s="384" t="str">
        <f ca="1">IFERROR(IF(MATCH(VLOOKUP(3,OFFSET('Dummy Table'!DY4:DZ7,0,N51),2,FALSE),OFFSET('Dummy Table'!IU13:IU16,0,N51),0),VLOOKUP(3,OFFSET('Dummy Table'!DY4:DZ7,0,N51),2,FALSE),""),"")</f>
        <v>Scotland</v>
      </c>
      <c r="T51" s="384"/>
      <c r="U51" s="384"/>
      <c r="V51" s="68"/>
      <c r="W51" s="78">
        <f>IF(P45&lt;&gt;"",IF(SUM(Matches!T7:T10)=12,IF(O51=D51,Bonu1,0)+IF(Q51=G51,Bonu2,0)+IF(AND(S51&lt;&gt;"",I51&lt;&gt;"",S51=I51),Bonu3,0),0),"")</f>
        <v>0</v>
      </c>
      <c r="X51" s="126">
        <f>N51+128</f>
        <v>128</v>
      </c>
      <c r="Y51" s="383" t="str">
        <f ca="1">VLOOKUP(1,OFFSET('Dummy Table'!DY4:DZ7,0,X51),2,FALSE)</f>
        <v>Germany</v>
      </c>
      <c r="Z51" s="383"/>
      <c r="AA51" s="383" t="str">
        <f ca="1">VLOOKUP(2,OFFSET('Dummy Table'!DY4:DZ7,0,X51),2,FALSE)</f>
        <v>Scotland</v>
      </c>
      <c r="AB51" s="383"/>
      <c r="AC51" s="384" t="str">
        <f ca="1">IFERROR(IF(MATCH(VLOOKUP(3,OFFSET('Dummy Table'!DY4:DZ7,0,X51),2,FALSE),OFFSET('Dummy Table'!IU13:IU16,0,X51),0),VLOOKUP(3,OFFSET('Dummy Table'!DY4:DZ7,0,X51),2,FALSE),""),"")</f>
        <v>Hungary</v>
      </c>
      <c r="AD51" s="384"/>
      <c r="AE51" s="384"/>
      <c r="AF51" s="68"/>
      <c r="AG51" s="78">
        <f>IF(Z45&lt;&gt;"",IF(SUM(Matches!T7:T10)=12,IF(Y51=D51,Bonu1,0)+IF(AA51=G51,Bonu2,0)+IF(AND(AC51&lt;&gt;"",I51&lt;&gt;"",AC51=I51),Bonu3,0),0),"")</f>
        <v>0</v>
      </c>
      <c r="AH51" s="126">
        <f t="shared" ref="AH51" si="177">X51+128</f>
        <v>256</v>
      </c>
      <c r="AI51" s="383" t="str">
        <f ca="1">VLOOKUP(1,OFFSET('Dummy Table'!DY4:DZ7,0,AH51),2,FALSE)</f>
        <v>Germany</v>
      </c>
      <c r="AJ51" s="383"/>
      <c r="AK51" s="383" t="str">
        <f ca="1">VLOOKUP(2,OFFSET('Dummy Table'!DY4:DZ7,0,AH51),2,FALSE)</f>
        <v>Hungary</v>
      </c>
      <c r="AL51" s="383"/>
      <c r="AM51" s="384" t="str">
        <f ca="1">IFERROR(IF(MATCH(VLOOKUP(3,OFFSET('Dummy Table'!DY4:DZ7,0,AH51),2,FALSE),OFFSET('Dummy Table'!IU13:IU16,0,AH51),0),VLOOKUP(3,OFFSET('Dummy Table'!DY4:DZ7,0,AH51),2,FALSE),""),"")</f>
        <v/>
      </c>
      <c r="AN51" s="384"/>
      <c r="AO51" s="384"/>
      <c r="AP51" s="68"/>
      <c r="AQ51" s="78">
        <f>IF(AJ45&lt;&gt;"",IF(SUM(Matches!T7:T10)=12,IF(AI51=D51,Bonu1,0)+IF(AK51=G51,Bonu2,0)+IF(AND(AM51&lt;&gt;"",I51&lt;&gt;"",AM51=I51),Bonu3,0),0),"")</f>
        <v>0</v>
      </c>
      <c r="AR51" s="126">
        <f t="shared" ref="AR51" si="178">AH51+128</f>
        <v>384</v>
      </c>
      <c r="AS51" s="383" t="str">
        <f ca="1">VLOOKUP(1,OFFSET('Dummy Table'!DY4:DZ7,0,AR51),2,FALSE)</f>
        <v>Germany</v>
      </c>
      <c r="AT51" s="383"/>
      <c r="AU51" s="383" t="str">
        <f ca="1">VLOOKUP(2,OFFSET('Dummy Table'!DY4:DZ7,0,AR51),2,FALSE)</f>
        <v>Switzerland</v>
      </c>
      <c r="AV51" s="383"/>
      <c r="AW51" s="384" t="str">
        <f ca="1">IFERROR(IF(MATCH(VLOOKUP(3,OFFSET('Dummy Table'!DY4:DZ7,0,AR51),2,FALSE),OFFSET('Dummy Table'!IU13:IU16,0,AR51),0),VLOOKUP(3,OFFSET('Dummy Table'!DY4:DZ7,0,AR51),2,FALSE),""),"")</f>
        <v>Scotland</v>
      </c>
      <c r="AX51" s="384"/>
      <c r="AY51" s="384"/>
      <c r="AZ51" s="68"/>
      <c r="BA51" s="78">
        <f>IF(AT45&lt;&gt;"",IF(SUM(Matches!T7:T10)=12,IF(AS51=D51,Bonu1,0)+IF(AU51=G51,Bonu2,0)+IF(AND(AW51&lt;&gt;"",I51&lt;&gt;"",AW51=I51),Bonu3,0),0),"")</f>
        <v>0</v>
      </c>
      <c r="BB51" s="126">
        <f t="shared" ref="BB51" si="179">AR51+128</f>
        <v>512</v>
      </c>
      <c r="BC51" s="383" t="str">
        <f ca="1">VLOOKUP(1,OFFSET('Dummy Table'!DY4:DZ7,0,BB51),2,FALSE)</f>
        <v>Germany</v>
      </c>
      <c r="BD51" s="383"/>
      <c r="BE51" s="383" t="str">
        <f ca="1">VLOOKUP(2,OFFSET('Dummy Table'!DY4:DZ7,0,BB51),2,FALSE)</f>
        <v>Scotland</v>
      </c>
      <c r="BF51" s="383"/>
      <c r="BG51" s="384" t="str">
        <f ca="1">IFERROR(IF(MATCH(VLOOKUP(3,OFFSET('Dummy Table'!DY4:DZ7,0,BB51),2,FALSE),OFFSET('Dummy Table'!IU13:IU16,0,BB51),0),VLOOKUP(3,OFFSET('Dummy Table'!DY4:DZ7,0,BB51),2,FALSE),""),"")</f>
        <v>Switzerland</v>
      </c>
      <c r="BH51" s="384"/>
      <c r="BI51" s="384"/>
      <c r="BJ51" s="68"/>
      <c r="BK51" s="78">
        <f>IF(BD45&lt;&gt;"",IF(SUM(Matches!T7:T10)=12,IF(BC51=D51,Bonu1,0)+IF(BE51=G51,Bonu2,0)+IF(AND(BG51&lt;&gt;"",I51&lt;&gt;"",BG51=I51),Bonu3,0),0),"")</f>
        <v>0</v>
      </c>
      <c r="BL51" s="126">
        <f t="shared" ref="BL51" si="180">BB51+128</f>
        <v>640</v>
      </c>
      <c r="BM51" s="383" t="str">
        <f ca="1">VLOOKUP(1,OFFSET('Dummy Table'!DY4:DZ7,0,BL51),2,FALSE)</f>
        <v>Germany</v>
      </c>
      <c r="BN51" s="383"/>
      <c r="BO51" s="383" t="str">
        <f ca="1">VLOOKUP(2,OFFSET('Dummy Table'!DY4:DZ7,0,BL51),2,FALSE)</f>
        <v>Switzerland</v>
      </c>
      <c r="BP51" s="383"/>
      <c r="BQ51" s="384" t="str">
        <f ca="1">IFERROR(IF(MATCH(VLOOKUP(3,OFFSET('Dummy Table'!DY4:DZ7,0,BL51),2,FALSE),OFFSET('Dummy Table'!IU13:IU16,0,BL51),0),VLOOKUP(3,OFFSET('Dummy Table'!DY4:DZ7,0,BL51),2,FALSE),""),"")</f>
        <v>Scotland</v>
      </c>
      <c r="BR51" s="384"/>
      <c r="BS51" s="384"/>
      <c r="BT51" s="68"/>
      <c r="BU51" s="78">
        <f>IF(BN45&lt;&gt;"",IF(SUM(Matches!T7:T10)=12,IF(BM51=D51,Bonu1,0)+IF(BO51=G51,Bonu2,0)+IF(AND(BQ51&lt;&gt;"",I51&lt;&gt;"",BQ51=I51),Bonu3,0),0),"")</f>
        <v>0</v>
      </c>
      <c r="BV51" s="126">
        <f t="shared" ref="BV51" si="181">BL51+128</f>
        <v>768</v>
      </c>
      <c r="BW51" s="383" t="str">
        <f ca="1">VLOOKUP(1,OFFSET('Dummy Table'!DY4:DZ7,0,BV51),2,FALSE)</f>
        <v>Germany</v>
      </c>
      <c r="BX51" s="383"/>
      <c r="BY51" s="383" t="str">
        <f ca="1">VLOOKUP(2,OFFSET('Dummy Table'!DY4:DZ7,0,BV51),2,FALSE)</f>
        <v>Switzerland</v>
      </c>
      <c r="BZ51" s="383"/>
      <c r="CA51" s="384" t="str">
        <f ca="1">IFERROR(IF(MATCH(VLOOKUP(3,OFFSET('Dummy Table'!DY4:DZ7,0,BV51),2,FALSE),OFFSET('Dummy Table'!IU13:IU16,0,BV51),0),VLOOKUP(3,OFFSET('Dummy Table'!DY4:DZ7,0,BV51),2,FALSE),""),"")</f>
        <v/>
      </c>
      <c r="CB51" s="384"/>
      <c r="CC51" s="384"/>
      <c r="CD51" s="68"/>
      <c r="CE51" s="78">
        <f>IF(BX45&lt;&gt;"",IF(SUM(Matches!T7:T10)=12,IF(BW51=D51,Bonu1,0)+IF(BY51=G51,Bonu2,0)+IF(AND(CA51&lt;&gt;"",I51&lt;&gt;"",CA51=I51),Bonu3,0),0),"")</f>
        <v>0</v>
      </c>
      <c r="CF51" s="126">
        <f t="shared" ref="CF51" si="182">BV51+128</f>
        <v>896</v>
      </c>
      <c r="CG51" s="383" t="str">
        <f ca="1">VLOOKUP(1,OFFSET('Dummy Table'!DY4:DZ7,0,CF51),2,FALSE)</f>
        <v>Germany</v>
      </c>
      <c r="CH51" s="383"/>
      <c r="CI51" s="383" t="str">
        <f ca="1">VLOOKUP(2,OFFSET('Dummy Table'!DY4:DZ7,0,CF51),2,FALSE)</f>
        <v>Hungary</v>
      </c>
      <c r="CJ51" s="383"/>
      <c r="CK51" s="384" t="str">
        <f ca="1">IFERROR(IF(MATCH(VLOOKUP(3,OFFSET('Dummy Table'!DY4:DZ7,0,CF51),2,FALSE),OFFSET('Dummy Table'!IU13:IU16,0,CF51),0),VLOOKUP(3,OFFSET('Dummy Table'!DY4:DZ7,0,CF51),2,FALSE),""),"")</f>
        <v>Scotland</v>
      </c>
      <c r="CL51" s="384"/>
      <c r="CM51" s="384"/>
      <c r="CN51" s="68"/>
      <c r="CO51" s="78" t="str">
        <f>IF(CH45&lt;&gt;"",IF(SUM(Matches!T7:T10)=12,IF(CG51=D51,Bonu1,0)+IF(CI51=G51,Bonu2,0)+IF(AND(CK51&lt;&gt;"",I51&lt;&gt;"",CK51=I51),Bonu3,0),0),"")</f>
        <v/>
      </c>
      <c r="CP51" s="126">
        <f t="shared" ref="CP51" si="183">CF51+128</f>
        <v>1024</v>
      </c>
      <c r="CQ51" s="383" t="str">
        <f ca="1">VLOOKUP(1,OFFSET('Dummy Table'!DY4:DZ7,0,CP51),2,FALSE)</f>
        <v>Germany</v>
      </c>
      <c r="CR51" s="383"/>
      <c r="CS51" s="383" t="str">
        <f ca="1">VLOOKUP(2,OFFSET('Dummy Table'!DY4:DZ7,0,CP51),2,FALSE)</f>
        <v>Hungary</v>
      </c>
      <c r="CT51" s="383"/>
      <c r="CU51" s="384" t="str">
        <f ca="1">IFERROR(IF(MATCH(VLOOKUP(3,OFFSET('Dummy Table'!DY4:DZ7,0,CP51),2,FALSE),OFFSET('Dummy Table'!IU13:IU16,0,CP51),0),VLOOKUP(3,OFFSET('Dummy Table'!DY4:DZ7,0,CP51),2,FALSE),""),"")</f>
        <v>Scotland</v>
      </c>
      <c r="CV51" s="384"/>
      <c r="CW51" s="384"/>
      <c r="CX51" s="68"/>
      <c r="CY51" s="78" t="str">
        <f>IF(CR45&lt;&gt;"",IF(SUM(Matches!T7:T10)=12,IF(CQ51=D51,Bonu1,0)+IF(CS51=G51,Bonu2,0)+IF(AND(CU51&lt;&gt;"",I51&lt;&gt;"",CU51=I51),Bonu3,0),0),"")</f>
        <v/>
      </c>
      <c r="CZ51" s="126">
        <f t="shared" ref="CZ51" si="184">CP51+128</f>
        <v>1152</v>
      </c>
      <c r="DA51" s="383" t="str">
        <f ca="1">VLOOKUP(1,OFFSET('Dummy Table'!DY4:DZ7,0,CZ51),2,FALSE)</f>
        <v>Germany</v>
      </c>
      <c r="DB51" s="383"/>
      <c r="DC51" s="383" t="str">
        <f ca="1">VLOOKUP(2,OFFSET('Dummy Table'!DY4:DZ7,0,CZ51),2,FALSE)</f>
        <v>Hungary</v>
      </c>
      <c r="DD51" s="383"/>
      <c r="DE51" s="384" t="str">
        <f ca="1">IFERROR(IF(MATCH(VLOOKUP(3,OFFSET('Dummy Table'!DY4:DZ7,0,CZ51),2,FALSE),OFFSET('Dummy Table'!IU13:IU16,0,CZ51),0),VLOOKUP(3,OFFSET('Dummy Table'!DY4:DZ7,0,CZ51),2,FALSE),""),"")</f>
        <v>Scotland</v>
      </c>
      <c r="DF51" s="384"/>
      <c r="DG51" s="384"/>
      <c r="DH51" s="68"/>
      <c r="DI51" s="78" t="str">
        <f>IF(DB45&lt;&gt;"",IF(SUM(Matches!T7:T10)=12,IF(DA51=D51,Bonu1,0)+IF(DC51=G51,Bonu2,0)+IF(AND(DE51&lt;&gt;"",I51&lt;&gt;"",DE51=I51),Bonu3,0),0),"")</f>
        <v/>
      </c>
    </row>
    <row r="52" spans="1:113" s="43" customFormat="1" ht="15" customHeight="1" x14ac:dyDescent="0.25">
      <c r="A52" s="41"/>
      <c r="B52" s="65"/>
      <c r="C52" s="87" t="s">
        <v>102</v>
      </c>
      <c r="D52" s="388" t="str">
        <f>Matches!P12</f>
        <v>Spain</v>
      </c>
      <c r="E52" s="388"/>
      <c r="F52" s="388"/>
      <c r="G52" s="388" t="str">
        <f>Matches!P13</f>
        <v>Italy</v>
      </c>
      <c r="H52" s="388"/>
      <c r="I52" s="392" t="str">
        <f>IF(ISNA(MATCH(Matches!P14,Qual3,0)),"",Matches!P14)</f>
        <v>Albania</v>
      </c>
      <c r="J52" s="393"/>
      <c r="K52" s="66"/>
      <c r="L52" s="66"/>
      <c r="M52" s="67"/>
      <c r="N52" s="126">
        <f ca="1">SUM(U61:U75)</f>
        <v>0</v>
      </c>
      <c r="O52" s="383" t="str">
        <f ca="1">VLOOKUP(1,OFFSET('Dummy Table'!DY11:DZ14,0,N51),2,FALSE)</f>
        <v>Spain</v>
      </c>
      <c r="P52" s="383"/>
      <c r="Q52" s="383" t="str">
        <f ca="1">VLOOKUP(2,OFFSET('Dummy Table'!DY11:DZ14,0,N51),2,FALSE)</f>
        <v>Italy</v>
      </c>
      <c r="R52" s="383"/>
      <c r="S52" s="384" t="str">
        <f ca="1">IFERROR(IF(MATCH(VLOOKUP(3,OFFSET('Dummy Table'!DY11:DZ14,0,N51),2,FALSE),OFFSET('Dummy Table'!IU13:IU16,0,N51),0),VLOOKUP(3,OFFSET('Dummy Table'!DY11:DZ14,0,N51),2,FALSE),""),"")</f>
        <v>Croatia</v>
      </c>
      <c r="T52" s="384"/>
      <c r="U52" s="384"/>
      <c r="V52" s="68"/>
      <c r="W52" s="78">
        <f>IF(P45&lt;&gt;"",IF(SUM(Matches!T12:T15)=12,IF(O52=D52,Bonu1,0)+IF(Q52=G52,Bonu2,0)+IF(AND(S52&lt;&gt;"",I52&lt;&gt;"",S52=I52),Bonu3,0),0),"")</f>
        <v>0</v>
      </c>
      <c r="X52" s="126">
        <f ca="1">SUM(AE61:AE75)</f>
        <v>0</v>
      </c>
      <c r="Y52" s="383" t="str">
        <f ca="1">VLOOKUP(1,OFFSET('Dummy Table'!DY11:DZ14,0,X51),2,FALSE)</f>
        <v>Spain</v>
      </c>
      <c r="Z52" s="383"/>
      <c r="AA52" s="383" t="str">
        <f ca="1">VLOOKUP(2,OFFSET('Dummy Table'!DY11:DZ14,0,X51),2,FALSE)</f>
        <v>Italy</v>
      </c>
      <c r="AB52" s="383"/>
      <c r="AC52" s="384" t="str">
        <f ca="1">IFERROR(IF(MATCH(VLOOKUP(3,OFFSET('Dummy Table'!DY11:DZ14,0,X51),2,FALSE),OFFSET('Dummy Table'!IU13:IU16,0,X51),0),VLOOKUP(3,OFFSET('Dummy Table'!DY11:DZ14,0,X51),2,FALSE),""),"")</f>
        <v>Croatia</v>
      </c>
      <c r="AD52" s="384"/>
      <c r="AE52" s="384"/>
      <c r="AF52" s="68"/>
      <c r="AG52" s="78">
        <f>IF(Z45&lt;&gt;"",IF(SUM(Matches!T12:T15)=12,IF(Y52=D52,Bonu1,0)+IF(AA52=G52,Bonu2,0)+IF(AND(AC52&lt;&gt;"",I52&lt;&gt;"",AC52=I52),Bonu3,0),0),"")</f>
        <v>0</v>
      </c>
      <c r="AH52" s="126">
        <f t="shared" ref="AH52" ca="1" si="185">SUM(AO61:AO75)</f>
        <v>0</v>
      </c>
      <c r="AI52" s="383" t="str">
        <f ca="1">VLOOKUP(1,OFFSET('Dummy Table'!DY11:DZ14,0,AH51),2,FALSE)</f>
        <v>Spain</v>
      </c>
      <c r="AJ52" s="383"/>
      <c r="AK52" s="383" t="str">
        <f ca="1">VLOOKUP(2,OFFSET('Dummy Table'!DY11:DZ14,0,AH51),2,FALSE)</f>
        <v>Italy</v>
      </c>
      <c r="AL52" s="383"/>
      <c r="AM52" s="384" t="str">
        <f ca="1">IFERROR(IF(MATCH(VLOOKUP(3,OFFSET('Dummy Table'!DY11:DZ14,0,AH51),2,FALSE),OFFSET('Dummy Table'!IU13:IU16,0,AH51),0),VLOOKUP(3,OFFSET('Dummy Table'!DY11:DZ14,0,AH51),2,FALSE),""),"")</f>
        <v>Croatia</v>
      </c>
      <c r="AN52" s="384"/>
      <c r="AO52" s="384"/>
      <c r="AP52" s="68"/>
      <c r="AQ52" s="78">
        <f>IF(AJ45&lt;&gt;"",IF(SUM(Matches!T12:T15)=12,IF(AI52=D52,Bonu1,0)+IF(AK52=G52,Bonu2,0)+IF(AND(AM52&lt;&gt;"",I52&lt;&gt;"",AM52=I52),Bonu3,0),0),"")</f>
        <v>0</v>
      </c>
      <c r="AR52" s="126">
        <f t="shared" ref="AR52" ca="1" si="186">SUM(AY61:AY75)</f>
        <v>0</v>
      </c>
      <c r="AS52" s="383" t="str">
        <f ca="1">VLOOKUP(1,OFFSET('Dummy Table'!DY11:DZ14,0,AR51),2,FALSE)</f>
        <v>Spain</v>
      </c>
      <c r="AT52" s="383"/>
      <c r="AU52" s="383" t="str">
        <f ca="1">VLOOKUP(2,OFFSET('Dummy Table'!DY11:DZ14,0,AR51),2,FALSE)</f>
        <v>Italy</v>
      </c>
      <c r="AV52" s="383"/>
      <c r="AW52" s="384" t="str">
        <f ca="1">IFERROR(IF(MATCH(VLOOKUP(3,OFFSET('Dummy Table'!DY11:DZ14,0,AR51),2,FALSE),OFFSET('Dummy Table'!IU13:IU16,0,AR51),0),VLOOKUP(3,OFFSET('Dummy Table'!DY11:DZ14,0,AR51),2,FALSE),""),"")</f>
        <v>Croatia</v>
      </c>
      <c r="AX52" s="384"/>
      <c r="AY52" s="384"/>
      <c r="AZ52" s="68"/>
      <c r="BA52" s="78">
        <f>IF(AT45&lt;&gt;"",IF(SUM(Matches!T12:T15)=12,IF(AS52=D52,Bonu1,0)+IF(AU52=G52,Bonu2,0)+IF(AND(AW52&lt;&gt;"",I52&lt;&gt;"",AW52=I52),Bonu3,0),0),"")</f>
        <v>0</v>
      </c>
      <c r="BB52" s="126">
        <f t="shared" ref="BB52" ca="1" si="187">SUM(BI61:BI75)</f>
        <v>0</v>
      </c>
      <c r="BC52" s="383" t="str">
        <f ca="1">VLOOKUP(1,OFFSET('Dummy Table'!DY11:DZ14,0,BB51),2,FALSE)</f>
        <v>Italy</v>
      </c>
      <c r="BD52" s="383"/>
      <c r="BE52" s="383" t="str">
        <f ca="1">VLOOKUP(2,OFFSET('Dummy Table'!DY11:DZ14,0,BB51),2,FALSE)</f>
        <v>Croatia</v>
      </c>
      <c r="BF52" s="383"/>
      <c r="BG52" s="384" t="str">
        <f ca="1">IFERROR(IF(MATCH(VLOOKUP(3,OFFSET('Dummy Table'!DY11:DZ14,0,BB51),2,FALSE),OFFSET('Dummy Table'!IU13:IU16,0,BB51),0),VLOOKUP(3,OFFSET('Dummy Table'!DY11:DZ14,0,BB51),2,FALSE),""),"")</f>
        <v>Spain</v>
      </c>
      <c r="BH52" s="384"/>
      <c r="BI52" s="384"/>
      <c r="BJ52" s="68"/>
      <c r="BK52" s="78">
        <f>IF(BD45&lt;&gt;"",IF(SUM(Matches!T12:T15)=12,IF(BC52=D52,Bonu1,0)+IF(BE52=G52,Bonu2,0)+IF(AND(BG52&lt;&gt;"",I52&lt;&gt;"",BG52=I52),Bonu3,0),0),"")</f>
        <v>0</v>
      </c>
      <c r="BL52" s="126">
        <f t="shared" ref="BL52" ca="1" si="188">SUM(BS61:BS75)</f>
        <v>0</v>
      </c>
      <c r="BM52" s="383" t="str">
        <f ca="1">VLOOKUP(1,OFFSET('Dummy Table'!DY11:DZ14,0,BL51),2,FALSE)</f>
        <v>Spain</v>
      </c>
      <c r="BN52" s="383"/>
      <c r="BO52" s="383" t="str">
        <f ca="1">VLOOKUP(2,OFFSET('Dummy Table'!DY11:DZ14,0,BL51),2,FALSE)</f>
        <v>Italy</v>
      </c>
      <c r="BP52" s="383"/>
      <c r="BQ52" s="384" t="str">
        <f ca="1">IFERROR(IF(MATCH(VLOOKUP(3,OFFSET('Dummy Table'!DY11:DZ14,0,BL51),2,FALSE),OFFSET('Dummy Table'!IU13:IU16,0,BL51),0),VLOOKUP(3,OFFSET('Dummy Table'!DY11:DZ14,0,BL51),2,FALSE),""),"")</f>
        <v>Croatia</v>
      </c>
      <c r="BR52" s="384"/>
      <c r="BS52" s="384"/>
      <c r="BT52" s="68"/>
      <c r="BU52" s="78">
        <f>IF(BN45&lt;&gt;"",IF(SUM(Matches!T12:T15)=12,IF(BM52=D52,Bonu1,0)+IF(BO52=G52,Bonu2,0)+IF(AND(BQ52&lt;&gt;"",I52&lt;&gt;"",BQ52=I52),Bonu3,0),0),"")</f>
        <v>0</v>
      </c>
      <c r="BV52" s="126">
        <f t="shared" ref="BV52" ca="1" si="189">SUM(CC61:CC75)</f>
        <v>0</v>
      </c>
      <c r="BW52" s="383" t="str">
        <f ca="1">VLOOKUP(1,OFFSET('Dummy Table'!DY11:DZ14,0,BV51),2,FALSE)</f>
        <v>Spain</v>
      </c>
      <c r="BX52" s="383"/>
      <c r="BY52" s="383" t="str">
        <f ca="1">VLOOKUP(2,OFFSET('Dummy Table'!DY11:DZ14,0,BV51),2,FALSE)</f>
        <v>Croatia</v>
      </c>
      <c r="BZ52" s="383"/>
      <c r="CA52" s="384" t="str">
        <f ca="1">IFERROR(IF(MATCH(VLOOKUP(3,OFFSET('Dummy Table'!DY11:DZ14,0,BV51),2,FALSE),OFFSET('Dummy Table'!IU13:IU16,0,BV51),0),VLOOKUP(3,OFFSET('Dummy Table'!DY11:DZ14,0,BV51),2,FALSE),""),"")</f>
        <v>Italy</v>
      </c>
      <c r="CB52" s="384"/>
      <c r="CC52" s="384"/>
      <c r="CD52" s="68"/>
      <c r="CE52" s="78">
        <f>IF(BX45&lt;&gt;"",IF(SUM(Matches!T12:T15)=12,IF(BW52=D52,Bonu1,0)+IF(BY52=G52,Bonu2,0)+IF(AND(CA52&lt;&gt;"",I52&lt;&gt;"",CA52=I52),Bonu3,0),0),"")</f>
        <v>0</v>
      </c>
      <c r="CF52" s="126">
        <f t="shared" ref="CF52" ca="1" si="190">SUM(CM61:CM75)</f>
        <v>0</v>
      </c>
      <c r="CG52" s="383" t="str">
        <f ca="1">VLOOKUP(1,OFFSET('Dummy Table'!DY11:DZ14,0,CF51),2,FALSE)</f>
        <v>Spain</v>
      </c>
      <c r="CH52" s="383"/>
      <c r="CI52" s="383" t="str">
        <f ca="1">VLOOKUP(2,OFFSET('Dummy Table'!DY11:DZ14,0,CF51),2,FALSE)</f>
        <v>Albania</v>
      </c>
      <c r="CJ52" s="383"/>
      <c r="CK52" s="384" t="str">
        <f ca="1">IFERROR(IF(MATCH(VLOOKUP(3,OFFSET('Dummy Table'!DY11:DZ14,0,CF51),2,FALSE),OFFSET('Dummy Table'!IU13:IU16,0,CF51),0),VLOOKUP(3,OFFSET('Dummy Table'!DY11:DZ14,0,CF51),2,FALSE),""),"")</f>
        <v>Croatia</v>
      </c>
      <c r="CL52" s="384"/>
      <c r="CM52" s="384"/>
      <c r="CN52" s="68"/>
      <c r="CO52" s="78" t="str">
        <f>IF(CH45&lt;&gt;"",IF(SUM(Matches!T12:T15)=12,IF(CG52=D52,Bonu1,0)+IF(CI52=G52,Bonu2,0)+IF(AND(CK52&lt;&gt;"",I52&lt;&gt;"",CK52=I52),Bonu3,0),0),"")</f>
        <v/>
      </c>
      <c r="CP52" s="126">
        <f t="shared" ref="CP52" ca="1" si="191">SUM(CW61:CW75)</f>
        <v>0</v>
      </c>
      <c r="CQ52" s="383" t="str">
        <f ca="1">VLOOKUP(1,OFFSET('Dummy Table'!DY11:DZ14,0,CP51),2,FALSE)</f>
        <v>Spain</v>
      </c>
      <c r="CR52" s="383"/>
      <c r="CS52" s="383" t="str">
        <f ca="1">VLOOKUP(2,OFFSET('Dummy Table'!DY11:DZ14,0,CP51),2,FALSE)</f>
        <v>Albania</v>
      </c>
      <c r="CT52" s="383"/>
      <c r="CU52" s="384" t="str">
        <f ca="1">IFERROR(IF(MATCH(VLOOKUP(3,OFFSET('Dummy Table'!DY11:DZ14,0,CP51),2,FALSE),OFFSET('Dummy Table'!IU13:IU16,0,CP51),0),VLOOKUP(3,OFFSET('Dummy Table'!DY11:DZ14,0,CP51),2,FALSE),""),"")</f>
        <v>Croatia</v>
      </c>
      <c r="CV52" s="384"/>
      <c r="CW52" s="384"/>
      <c r="CX52" s="68"/>
      <c r="CY52" s="78" t="str">
        <f>IF(CR45&lt;&gt;"",IF(SUM(Matches!T12:T15)=12,IF(CQ52=D52,Bonu1,0)+IF(CS52=G52,Bonu2,0)+IF(AND(CU52&lt;&gt;"",I52&lt;&gt;"",CU52=I52),Bonu3,0),0),"")</f>
        <v/>
      </c>
      <c r="CZ52" s="126">
        <f t="shared" ref="CZ52" ca="1" si="192">SUM(DG61:DG75)</f>
        <v>0</v>
      </c>
      <c r="DA52" s="383" t="str">
        <f ca="1">VLOOKUP(1,OFFSET('Dummy Table'!DY11:DZ14,0,CZ51),2,FALSE)</f>
        <v>Spain</v>
      </c>
      <c r="DB52" s="383"/>
      <c r="DC52" s="383" t="str">
        <f ca="1">VLOOKUP(2,OFFSET('Dummy Table'!DY11:DZ14,0,CZ51),2,FALSE)</f>
        <v>Albania</v>
      </c>
      <c r="DD52" s="383"/>
      <c r="DE52" s="384" t="str">
        <f ca="1">IFERROR(IF(MATCH(VLOOKUP(3,OFFSET('Dummy Table'!DY11:DZ14,0,CZ51),2,FALSE),OFFSET('Dummy Table'!IU13:IU16,0,CZ51),0),VLOOKUP(3,OFFSET('Dummy Table'!DY11:DZ14,0,CZ51),2,FALSE),""),"")</f>
        <v>Croatia</v>
      </c>
      <c r="DF52" s="384"/>
      <c r="DG52" s="384"/>
      <c r="DH52" s="68"/>
      <c r="DI52" s="78" t="str">
        <f>IF(DB45&lt;&gt;"",IF(SUM(Matches!T12:T15)=12,IF(DA52=D52,Bonu1,0)+IF(DC52=G52,Bonu2,0)+IF(AND(DE52&lt;&gt;"",I52&lt;&gt;"",DE52=I52),Bonu3,0),0),"")</f>
        <v/>
      </c>
    </row>
    <row r="53" spans="1:113" s="43" customFormat="1" ht="15" customHeight="1" x14ac:dyDescent="0.25">
      <c r="A53" s="41"/>
      <c r="B53" s="65"/>
      <c r="C53" s="87" t="s">
        <v>103</v>
      </c>
      <c r="D53" s="388" t="str">
        <f>Matches!P17</f>
        <v>England</v>
      </c>
      <c r="E53" s="388"/>
      <c r="F53" s="388"/>
      <c r="G53" s="388" t="str">
        <f>Matches!P18</f>
        <v>Denmark</v>
      </c>
      <c r="H53" s="388"/>
      <c r="I53" s="392" t="str">
        <f>IF(ISNA(MATCH(Matches!P19,Qual3,0)),"",Matches!P19)</f>
        <v>Slovenia</v>
      </c>
      <c r="J53" s="393"/>
      <c r="K53" s="66"/>
      <c r="L53" s="66"/>
      <c r="M53" s="67"/>
      <c r="N53" s="86">
        <f ca="1">SUM(W61:W88)</f>
        <v>0</v>
      </c>
      <c r="O53" s="383" t="str">
        <f ca="1">VLOOKUP(1,OFFSET('Dummy Table'!DY18:DZ21,0,N51),2,FALSE)</f>
        <v>Denmark</v>
      </c>
      <c r="P53" s="383"/>
      <c r="Q53" s="383" t="str">
        <f ca="1">VLOOKUP(2,OFFSET('Dummy Table'!DY18:DZ21,0,N51),2,FALSE)</f>
        <v>England</v>
      </c>
      <c r="R53" s="383"/>
      <c r="S53" s="384" t="str">
        <f ca="1">IFERROR(IF(MATCH(VLOOKUP(3,OFFSET('Dummy Table'!DY18:DZ21,0,N51),2,FALSE),OFFSET('Dummy Table'!IU13:IU16,0,N51),0),VLOOKUP(3,OFFSET('Dummy Table'!DY18:DZ21,0,N51),2,FALSE),""),"")</f>
        <v/>
      </c>
      <c r="T53" s="384"/>
      <c r="U53" s="384"/>
      <c r="V53" s="68"/>
      <c r="W53" s="78">
        <f>IF(P45&lt;&gt;"",IF(SUM(Matches!T17:T20)=12,IF(O53=D53,Bonu1,0)+IF(Q53=G53,Bonu2,0)+IF(AND(S53&lt;&gt;"",I53&lt;&gt;"",S53=I53),Bonu3,0),0),"")</f>
        <v>0</v>
      </c>
      <c r="X53" s="86">
        <f ca="1">SUM(AG61:AG88)</f>
        <v>0</v>
      </c>
      <c r="Y53" s="383" t="str">
        <f ca="1">VLOOKUP(1,OFFSET('Dummy Table'!DY18:DZ21,0,X51),2,FALSE)</f>
        <v>England</v>
      </c>
      <c r="Z53" s="383"/>
      <c r="AA53" s="383" t="str">
        <f ca="1">VLOOKUP(2,OFFSET('Dummy Table'!DY18:DZ21,0,X51),2,FALSE)</f>
        <v>Denmark</v>
      </c>
      <c r="AB53" s="383"/>
      <c r="AC53" s="384" t="str">
        <f ca="1">IFERROR(IF(MATCH(VLOOKUP(3,OFFSET('Dummy Table'!DY18:DZ21,0,X51),2,FALSE),OFFSET('Dummy Table'!IU13:IU16,0,X51),0),VLOOKUP(3,OFFSET('Dummy Table'!DY18:DZ21,0,X51),2,FALSE),""),"")</f>
        <v/>
      </c>
      <c r="AD53" s="384"/>
      <c r="AE53" s="384"/>
      <c r="AF53" s="68"/>
      <c r="AG53" s="78">
        <f>IF(Z45&lt;&gt;"",IF(SUM(Matches!T17:T20)=12,IF(Y53=D53,Bonu1,0)+IF(AA53=G53,Bonu2,0)+IF(AND(AC53&lt;&gt;"",I53&lt;&gt;"",AC53=I53),Bonu3,0),0),"")</f>
        <v>0</v>
      </c>
      <c r="AH53" s="86">
        <f t="shared" ref="AH53" ca="1" si="193">SUM(AQ61:AQ88)</f>
        <v>0</v>
      </c>
      <c r="AI53" s="383" t="str">
        <f ca="1">VLOOKUP(1,OFFSET('Dummy Table'!DY18:DZ21,0,AH51),2,FALSE)</f>
        <v>England</v>
      </c>
      <c r="AJ53" s="383"/>
      <c r="AK53" s="383" t="str">
        <f ca="1">VLOOKUP(2,OFFSET('Dummy Table'!DY18:DZ21,0,AH51),2,FALSE)</f>
        <v>Serbia</v>
      </c>
      <c r="AL53" s="383"/>
      <c r="AM53" s="384" t="str">
        <f ca="1">IFERROR(IF(MATCH(VLOOKUP(3,OFFSET('Dummy Table'!DY18:DZ21,0,AH51),2,FALSE),OFFSET('Dummy Table'!IU13:IU16,0,AH51),0),VLOOKUP(3,OFFSET('Dummy Table'!DY18:DZ21,0,AH51),2,FALSE),""),"")</f>
        <v>Denmark</v>
      </c>
      <c r="AN53" s="384"/>
      <c r="AO53" s="384"/>
      <c r="AP53" s="68"/>
      <c r="AQ53" s="78">
        <f>IF(AJ45&lt;&gt;"",IF(SUM(Matches!T17:T20)=12,IF(AI53=D53,Bonu1,0)+IF(AK53=G53,Bonu2,0)+IF(AND(AM53&lt;&gt;"",I53&lt;&gt;"",AM53=I53),Bonu3,0),0),"")</f>
        <v>0</v>
      </c>
      <c r="AR53" s="86">
        <f t="shared" ref="AR53" ca="1" si="194">SUM(BA61:BA88)</f>
        <v>0</v>
      </c>
      <c r="AS53" s="383" t="str">
        <f ca="1">VLOOKUP(1,OFFSET('Dummy Table'!DY18:DZ21,0,AR51),2,FALSE)</f>
        <v>England</v>
      </c>
      <c r="AT53" s="383"/>
      <c r="AU53" s="383" t="str">
        <f ca="1">VLOOKUP(2,OFFSET('Dummy Table'!DY18:DZ21,0,AR51),2,FALSE)</f>
        <v>Denmark</v>
      </c>
      <c r="AV53" s="383"/>
      <c r="AW53" s="384" t="str">
        <f ca="1">IFERROR(IF(MATCH(VLOOKUP(3,OFFSET('Dummy Table'!DY18:DZ21,0,AR51),2,FALSE),OFFSET('Dummy Table'!IU13:IU16,0,AR51),0),VLOOKUP(3,OFFSET('Dummy Table'!DY18:DZ21,0,AR51),2,FALSE),""),"")</f>
        <v/>
      </c>
      <c r="AX53" s="384"/>
      <c r="AY53" s="384"/>
      <c r="AZ53" s="68"/>
      <c r="BA53" s="78">
        <f>IF(AT45&lt;&gt;"",IF(SUM(Matches!T17:T20)=12,IF(AS53=D53,Bonu1,0)+IF(AU53=G53,Bonu2,0)+IF(AND(AW53&lt;&gt;"",I53&lt;&gt;"",AW53=I53),Bonu3,0),0),"")</f>
        <v>0</v>
      </c>
      <c r="BB53" s="86">
        <f t="shared" ref="BB53" ca="1" si="195">SUM(BK61:BK88)</f>
        <v>0</v>
      </c>
      <c r="BC53" s="383" t="str">
        <f ca="1">VLOOKUP(1,OFFSET('Dummy Table'!DY18:DZ21,0,BB51),2,FALSE)</f>
        <v>Denmark</v>
      </c>
      <c r="BD53" s="383"/>
      <c r="BE53" s="383" t="str">
        <f ca="1">VLOOKUP(2,OFFSET('Dummy Table'!DY18:DZ21,0,BB51),2,FALSE)</f>
        <v>England</v>
      </c>
      <c r="BF53" s="383"/>
      <c r="BG53" s="384" t="str">
        <f ca="1">IFERROR(IF(MATCH(VLOOKUP(3,OFFSET('Dummy Table'!DY18:DZ21,0,BB51),2,FALSE),OFFSET('Dummy Table'!IU13:IU16,0,BB51),0),VLOOKUP(3,OFFSET('Dummy Table'!DY18:DZ21,0,BB51),2,FALSE),""),"")</f>
        <v>Serbia</v>
      </c>
      <c r="BH53" s="384"/>
      <c r="BI53" s="384"/>
      <c r="BJ53" s="68"/>
      <c r="BK53" s="78">
        <f>IF(BD45&lt;&gt;"",IF(SUM(Matches!T17:T20)=12,IF(BC53=D53,Bonu1,0)+IF(BE53=G53,Bonu2,0)+IF(AND(BG53&lt;&gt;"",I53&lt;&gt;"",BG53=I53),Bonu3,0),0),"")</f>
        <v>0</v>
      </c>
      <c r="BL53" s="86">
        <f t="shared" ref="BL53" ca="1" si="196">SUM(BU61:BU88)</f>
        <v>0</v>
      </c>
      <c r="BM53" s="383" t="str">
        <f ca="1">VLOOKUP(1,OFFSET('Dummy Table'!DY18:DZ21,0,BL51),2,FALSE)</f>
        <v>England</v>
      </c>
      <c r="BN53" s="383"/>
      <c r="BO53" s="383" t="str">
        <f ca="1">VLOOKUP(2,OFFSET('Dummy Table'!DY18:DZ21,0,BL51),2,FALSE)</f>
        <v>Denmark</v>
      </c>
      <c r="BP53" s="383"/>
      <c r="BQ53" s="384" t="str">
        <f ca="1">IFERROR(IF(MATCH(VLOOKUP(3,OFFSET('Dummy Table'!DY18:DZ21,0,BL51),2,FALSE),OFFSET('Dummy Table'!IU13:IU16,0,BL51),0),VLOOKUP(3,OFFSET('Dummy Table'!DY18:DZ21,0,BL51),2,FALSE),""),"")</f>
        <v>Serbia</v>
      </c>
      <c r="BR53" s="384"/>
      <c r="BS53" s="384"/>
      <c r="BT53" s="68"/>
      <c r="BU53" s="78">
        <f>IF(BN45&lt;&gt;"",IF(SUM(Matches!T17:T20)=12,IF(BM53=D53,Bonu1,0)+IF(BO53=G53,Bonu2,0)+IF(AND(BQ53&lt;&gt;"",I53&lt;&gt;"",BQ53=I53),Bonu3,0),0),"")</f>
        <v>0</v>
      </c>
      <c r="BV53" s="86">
        <f t="shared" ref="BV53" ca="1" si="197">SUM(CE61:CE88)</f>
        <v>0</v>
      </c>
      <c r="BW53" s="383" t="str">
        <f ca="1">VLOOKUP(1,OFFSET('Dummy Table'!DY18:DZ21,0,BV51),2,FALSE)</f>
        <v>England</v>
      </c>
      <c r="BX53" s="383"/>
      <c r="BY53" s="383" t="str">
        <f ca="1">VLOOKUP(2,OFFSET('Dummy Table'!DY18:DZ21,0,BV51),2,FALSE)</f>
        <v>Denmark</v>
      </c>
      <c r="BZ53" s="383"/>
      <c r="CA53" s="384" t="str">
        <f ca="1">IFERROR(IF(MATCH(VLOOKUP(3,OFFSET('Dummy Table'!DY18:DZ21,0,BV51),2,FALSE),OFFSET('Dummy Table'!IU13:IU16,0,BV51),0),VLOOKUP(3,OFFSET('Dummy Table'!DY18:DZ21,0,BV51),2,FALSE),""),"")</f>
        <v>Serbia</v>
      </c>
      <c r="CB53" s="384"/>
      <c r="CC53" s="384"/>
      <c r="CD53" s="68"/>
      <c r="CE53" s="78">
        <f>IF(BX45&lt;&gt;"",IF(SUM(Matches!T17:T20)=12,IF(BW53=D53,Bonu1,0)+IF(BY53=G53,Bonu2,0)+IF(AND(CA53&lt;&gt;"",I53&lt;&gt;"",CA53=I53),Bonu3,0),0),"")</f>
        <v>0</v>
      </c>
      <c r="CF53" s="86">
        <f t="shared" ref="CF53" ca="1" si="198">SUM(CO61:CO88)</f>
        <v>0</v>
      </c>
      <c r="CG53" s="383" t="str">
        <f ca="1">VLOOKUP(1,OFFSET('Dummy Table'!DY18:DZ21,0,CF51),2,FALSE)</f>
        <v>England</v>
      </c>
      <c r="CH53" s="383"/>
      <c r="CI53" s="383" t="str">
        <f ca="1">VLOOKUP(2,OFFSET('Dummy Table'!DY18:DZ21,0,CF51),2,FALSE)</f>
        <v>Denmark</v>
      </c>
      <c r="CJ53" s="383"/>
      <c r="CK53" s="384" t="str">
        <f ca="1">IFERROR(IF(MATCH(VLOOKUP(3,OFFSET('Dummy Table'!DY18:DZ21,0,CF51),2,FALSE),OFFSET('Dummy Table'!IU13:IU16,0,CF51),0),VLOOKUP(3,OFFSET('Dummy Table'!DY18:DZ21,0,CF51),2,FALSE),""),"")</f>
        <v>Slovenia</v>
      </c>
      <c r="CL53" s="384"/>
      <c r="CM53" s="384"/>
      <c r="CN53" s="68"/>
      <c r="CO53" s="78" t="str">
        <f>IF(CH45&lt;&gt;"",IF(SUM(Matches!T17:T20)=12,IF(CG53=D53,Bonu1,0)+IF(CI53=G53,Bonu2,0)+IF(AND(CK53&lt;&gt;"",I53&lt;&gt;"",CK53=I53),Bonu3,0),0),"")</f>
        <v/>
      </c>
      <c r="CP53" s="86">
        <f t="shared" ref="CP53" ca="1" si="199">SUM(CY61:CY88)</f>
        <v>0</v>
      </c>
      <c r="CQ53" s="383" t="str">
        <f ca="1">VLOOKUP(1,OFFSET('Dummy Table'!DY18:DZ21,0,CP51),2,FALSE)</f>
        <v>England</v>
      </c>
      <c r="CR53" s="383"/>
      <c r="CS53" s="383" t="str">
        <f ca="1">VLOOKUP(2,OFFSET('Dummy Table'!DY18:DZ21,0,CP51),2,FALSE)</f>
        <v>Denmark</v>
      </c>
      <c r="CT53" s="383"/>
      <c r="CU53" s="384" t="str">
        <f ca="1">IFERROR(IF(MATCH(VLOOKUP(3,OFFSET('Dummy Table'!DY18:DZ21,0,CP51),2,FALSE),OFFSET('Dummy Table'!IU13:IU16,0,CP51),0),VLOOKUP(3,OFFSET('Dummy Table'!DY18:DZ21,0,CP51),2,FALSE),""),"")</f>
        <v>Slovenia</v>
      </c>
      <c r="CV53" s="384"/>
      <c r="CW53" s="384"/>
      <c r="CX53" s="68"/>
      <c r="CY53" s="78" t="str">
        <f>IF(CR45&lt;&gt;"",IF(SUM(Matches!T17:T20)=12,IF(CQ53=D53,Bonu1,0)+IF(CS53=G53,Bonu2,0)+IF(AND(CU53&lt;&gt;"",I53&lt;&gt;"",CU53=I53),Bonu3,0),0),"")</f>
        <v/>
      </c>
      <c r="CZ53" s="86">
        <f t="shared" ref="CZ53" ca="1" si="200">SUM(DI61:DI88)</f>
        <v>0</v>
      </c>
      <c r="DA53" s="383" t="str">
        <f ca="1">VLOOKUP(1,OFFSET('Dummy Table'!DY18:DZ21,0,CZ51),2,FALSE)</f>
        <v>England</v>
      </c>
      <c r="DB53" s="383"/>
      <c r="DC53" s="383" t="str">
        <f ca="1">VLOOKUP(2,OFFSET('Dummy Table'!DY18:DZ21,0,CZ51),2,FALSE)</f>
        <v>Denmark</v>
      </c>
      <c r="DD53" s="383"/>
      <c r="DE53" s="384" t="str">
        <f ca="1">IFERROR(IF(MATCH(VLOOKUP(3,OFFSET('Dummy Table'!DY18:DZ21,0,CZ51),2,FALSE),OFFSET('Dummy Table'!IU13:IU16,0,CZ51),0),VLOOKUP(3,OFFSET('Dummy Table'!DY18:DZ21,0,CZ51),2,FALSE),""),"")</f>
        <v>Slovenia</v>
      </c>
      <c r="DF53" s="384"/>
      <c r="DG53" s="384"/>
      <c r="DH53" s="68"/>
      <c r="DI53" s="78" t="str">
        <f>IF(DB45&lt;&gt;"",IF(SUM(Matches!T17:T20)=12,IF(DA53=D53,Bonu1,0)+IF(DC53=G53,Bonu2,0)+IF(AND(DE53&lt;&gt;"",I53&lt;&gt;"",DE53=I53),Bonu3,0),0),"")</f>
        <v/>
      </c>
    </row>
    <row r="54" spans="1:113" s="43" customFormat="1" ht="15" customHeight="1" x14ac:dyDescent="0.25">
      <c r="A54" s="41"/>
      <c r="B54" s="65"/>
      <c r="C54" s="87" t="s">
        <v>104</v>
      </c>
      <c r="D54" s="388" t="str">
        <f>Matches!P22</f>
        <v>France</v>
      </c>
      <c r="E54" s="388"/>
      <c r="F54" s="388"/>
      <c r="G54" s="388" t="str">
        <f>Matches!P23</f>
        <v>Netherlands</v>
      </c>
      <c r="H54" s="388"/>
      <c r="I54" s="392" t="str">
        <f>IF(ISNA(MATCH(Matches!P24,Qual3,0)),"",Matches!P24)</f>
        <v>Austria</v>
      </c>
      <c r="J54" s="393"/>
      <c r="K54" s="66"/>
      <c r="L54" s="66"/>
      <c r="M54" s="67"/>
      <c r="N54" s="126"/>
      <c r="O54" s="383" t="str">
        <f ca="1">VLOOKUP(1,OFFSET('Dummy Table'!DY25:DZ28,0,N51),2,FALSE)</f>
        <v>France</v>
      </c>
      <c r="P54" s="383"/>
      <c r="Q54" s="383" t="str">
        <f ca="1">VLOOKUP(2,OFFSET('Dummy Table'!DY25:DZ28,0,N51),2,FALSE)</f>
        <v>Netherlands</v>
      </c>
      <c r="R54" s="383"/>
      <c r="S54" s="384" t="str">
        <f ca="1">IFERROR(IF(MATCH(VLOOKUP(3,OFFSET('Dummy Table'!DY25:DZ28,0,N51),2,FALSE),OFFSET('Dummy Table'!IU13:IU16,0,N51),0),VLOOKUP(3,OFFSET('Dummy Table'!DY25:DZ28,0,N51),2,FALSE),""),"")</f>
        <v>Austria</v>
      </c>
      <c r="T54" s="384"/>
      <c r="U54" s="384"/>
      <c r="V54" s="68"/>
      <c r="W54" s="78">
        <f>IF(P45&lt;&gt;"",IF(SUM(Matches!T22:T25)=12,IF(O54=D54,Bonu1,0)+IF(Q54=G54,Bonu2,0)+IF(AND(S54&lt;&gt;"",I54&lt;&gt;"",S54=I54),Bonu3,0),0),"")</f>
        <v>0</v>
      </c>
      <c r="X54" s="126"/>
      <c r="Y54" s="383" t="str">
        <f ca="1">VLOOKUP(1,OFFSET('Dummy Table'!DY25:DZ28,0,X51),2,FALSE)</f>
        <v>France</v>
      </c>
      <c r="Z54" s="383"/>
      <c r="AA54" s="383" t="str">
        <f ca="1">VLOOKUP(2,OFFSET('Dummy Table'!DY25:DZ28,0,X51),2,FALSE)</f>
        <v>Poland</v>
      </c>
      <c r="AB54" s="383"/>
      <c r="AC54" s="384" t="str">
        <f ca="1">IFERROR(IF(MATCH(VLOOKUP(3,OFFSET('Dummy Table'!DY25:DZ28,0,X51),2,FALSE),OFFSET('Dummy Table'!IU13:IU16,0,X51),0),VLOOKUP(3,OFFSET('Dummy Table'!DY25:DZ28,0,X51),2,FALSE),""),"")</f>
        <v/>
      </c>
      <c r="AD54" s="384"/>
      <c r="AE54" s="384"/>
      <c r="AF54" s="68"/>
      <c r="AG54" s="78">
        <f>IF(Z45&lt;&gt;"",IF(SUM(Matches!T22:T25)=12,IF(Y54=D54,Bonu1,0)+IF(AA54=G54,Bonu2,0)+IF(AND(AC54&lt;&gt;"",I54&lt;&gt;"",AC54=I54),Bonu3,0),0),"")</f>
        <v>0</v>
      </c>
      <c r="AH54" s="126"/>
      <c r="AI54" s="383" t="str">
        <f ca="1">VLOOKUP(1,OFFSET('Dummy Table'!DY25:DZ28,0,AH51),2,FALSE)</f>
        <v>France</v>
      </c>
      <c r="AJ54" s="383"/>
      <c r="AK54" s="383" t="str">
        <f ca="1">VLOOKUP(2,OFFSET('Dummy Table'!DY25:DZ28,0,AH51),2,FALSE)</f>
        <v>Netherlands</v>
      </c>
      <c r="AL54" s="383"/>
      <c r="AM54" s="384" t="str">
        <f ca="1">IFERROR(IF(MATCH(VLOOKUP(3,OFFSET('Dummy Table'!DY25:DZ28,0,AH51),2,FALSE),OFFSET('Dummy Table'!IU13:IU16,0,AH51),0),VLOOKUP(3,OFFSET('Dummy Table'!DY25:DZ28,0,AH51),2,FALSE),""),"")</f>
        <v/>
      </c>
      <c r="AN54" s="384"/>
      <c r="AO54" s="384"/>
      <c r="AP54" s="68"/>
      <c r="AQ54" s="78">
        <f>IF(AJ45&lt;&gt;"",IF(SUM(Matches!T22:T25)=12,IF(AI54=D54,Bonu1,0)+IF(AK54=G54,Bonu2,0)+IF(AND(AM54&lt;&gt;"",I54&lt;&gt;"",AM54=I54),Bonu3,0),0),"")</f>
        <v>0</v>
      </c>
      <c r="AR54" s="126"/>
      <c r="AS54" s="383" t="str">
        <f ca="1">VLOOKUP(1,OFFSET('Dummy Table'!DY25:DZ28,0,AR51),2,FALSE)</f>
        <v>France</v>
      </c>
      <c r="AT54" s="383"/>
      <c r="AU54" s="383" t="str">
        <f ca="1">VLOOKUP(2,OFFSET('Dummy Table'!DY25:DZ28,0,AR51),2,FALSE)</f>
        <v>Netherlands</v>
      </c>
      <c r="AV54" s="383"/>
      <c r="AW54" s="384" t="str">
        <f ca="1">IFERROR(IF(MATCH(VLOOKUP(3,OFFSET('Dummy Table'!DY25:DZ28,0,AR51),2,FALSE),OFFSET('Dummy Table'!IU13:IU16,0,AR51),0),VLOOKUP(3,OFFSET('Dummy Table'!DY25:DZ28,0,AR51),2,FALSE),""),"")</f>
        <v/>
      </c>
      <c r="AX54" s="384"/>
      <c r="AY54" s="384"/>
      <c r="AZ54" s="68"/>
      <c r="BA54" s="78">
        <f>IF(AT45&lt;&gt;"",IF(SUM(Matches!T22:T25)=12,IF(AS54=D54,Bonu1,0)+IF(AU54=G54,Bonu2,0)+IF(AND(AW54&lt;&gt;"",I54&lt;&gt;"",AW54=I54),Bonu3,0),0),"")</f>
        <v>0</v>
      </c>
      <c r="BB54" s="126"/>
      <c r="BC54" s="383" t="str">
        <f ca="1">VLOOKUP(1,OFFSET('Dummy Table'!DY25:DZ28,0,BB51),2,FALSE)</f>
        <v>France</v>
      </c>
      <c r="BD54" s="383"/>
      <c r="BE54" s="383" t="str">
        <f ca="1">VLOOKUP(2,OFFSET('Dummy Table'!DY25:DZ28,0,BB51),2,FALSE)</f>
        <v>Netherlands</v>
      </c>
      <c r="BF54" s="383"/>
      <c r="BG54" s="384" t="str">
        <f ca="1">IFERROR(IF(MATCH(VLOOKUP(3,OFFSET('Dummy Table'!DY25:DZ28,0,BB51),2,FALSE),OFFSET('Dummy Table'!IU13:IU16,0,BB51),0),VLOOKUP(3,OFFSET('Dummy Table'!DY25:DZ28,0,BB51),2,FALSE),""),"")</f>
        <v>Austria</v>
      </c>
      <c r="BH54" s="384"/>
      <c r="BI54" s="384"/>
      <c r="BJ54" s="68"/>
      <c r="BK54" s="78">
        <f>IF(BD45&lt;&gt;"",IF(SUM(Matches!T22:T25)=12,IF(BC54=D54,Bonu1,0)+IF(BE54=G54,Bonu2,0)+IF(AND(BG54&lt;&gt;"",I54&lt;&gt;"",BG54=I54),Bonu3,0),0),"")</f>
        <v>0</v>
      </c>
      <c r="BL54" s="126"/>
      <c r="BM54" s="383" t="str">
        <f ca="1">VLOOKUP(1,OFFSET('Dummy Table'!DY25:DZ28,0,BL51),2,FALSE)</f>
        <v>Netherlands</v>
      </c>
      <c r="BN54" s="383"/>
      <c r="BO54" s="383" t="str">
        <f ca="1">VLOOKUP(2,OFFSET('Dummy Table'!DY25:DZ28,0,BL51),2,FALSE)</f>
        <v>France</v>
      </c>
      <c r="BP54" s="383"/>
      <c r="BQ54" s="384" t="str">
        <f ca="1">IFERROR(IF(MATCH(VLOOKUP(3,OFFSET('Dummy Table'!DY25:DZ28,0,BL51),2,FALSE),OFFSET('Dummy Table'!IU13:IU16,0,BL51),0),VLOOKUP(3,OFFSET('Dummy Table'!DY25:DZ28,0,BL51),2,FALSE),""),"")</f>
        <v/>
      </c>
      <c r="BR54" s="384"/>
      <c r="BS54" s="384"/>
      <c r="BT54" s="68"/>
      <c r="BU54" s="78">
        <f>IF(BN45&lt;&gt;"",IF(SUM(Matches!T22:T25)=12,IF(BM54=D54,Bonu1,0)+IF(BO54=G54,Bonu2,0)+IF(AND(BQ54&lt;&gt;"",I54&lt;&gt;"",BQ54=I54),Bonu3,0),0),"")</f>
        <v>0</v>
      </c>
      <c r="BV54" s="126"/>
      <c r="BW54" s="383" t="str">
        <f ca="1">VLOOKUP(1,OFFSET('Dummy Table'!DY25:DZ28,0,BV51),2,FALSE)</f>
        <v>France</v>
      </c>
      <c r="BX54" s="383"/>
      <c r="BY54" s="383" t="str">
        <f ca="1">VLOOKUP(2,OFFSET('Dummy Table'!DY25:DZ28,0,BV51),2,FALSE)</f>
        <v>Netherlands</v>
      </c>
      <c r="BZ54" s="383"/>
      <c r="CA54" s="384" t="str">
        <f ca="1">IFERROR(IF(MATCH(VLOOKUP(3,OFFSET('Dummy Table'!DY25:DZ28,0,BV51),2,FALSE),OFFSET('Dummy Table'!IU13:IU16,0,BV51),0),VLOOKUP(3,OFFSET('Dummy Table'!DY25:DZ28,0,BV51),2,FALSE),""),"")</f>
        <v/>
      </c>
      <c r="CB54" s="384"/>
      <c r="CC54" s="384"/>
      <c r="CD54" s="68"/>
      <c r="CE54" s="78">
        <f>IF(BX45&lt;&gt;"",IF(SUM(Matches!T22:T25)=12,IF(BW54=D54,Bonu1,0)+IF(BY54=G54,Bonu2,0)+IF(AND(CA54&lt;&gt;"",I54&lt;&gt;"",CA54=I54),Bonu3,0),0),"")</f>
        <v>0</v>
      </c>
      <c r="CF54" s="126"/>
      <c r="CG54" s="383" t="str">
        <f ca="1">VLOOKUP(1,OFFSET('Dummy Table'!DY25:DZ28,0,CF51),2,FALSE)</f>
        <v>France</v>
      </c>
      <c r="CH54" s="383"/>
      <c r="CI54" s="383" t="str">
        <f ca="1">VLOOKUP(2,OFFSET('Dummy Table'!DY25:DZ28,0,CF51),2,FALSE)</f>
        <v>Netherlands</v>
      </c>
      <c r="CJ54" s="383"/>
      <c r="CK54" s="384" t="str">
        <f ca="1">IFERROR(IF(MATCH(VLOOKUP(3,OFFSET('Dummy Table'!DY25:DZ28,0,CF51),2,FALSE),OFFSET('Dummy Table'!IU13:IU16,0,CF51),0),VLOOKUP(3,OFFSET('Dummy Table'!DY25:DZ28,0,CF51),2,FALSE),""),"")</f>
        <v>Austria</v>
      </c>
      <c r="CL54" s="384"/>
      <c r="CM54" s="384"/>
      <c r="CN54" s="68"/>
      <c r="CO54" s="78" t="str">
        <f>IF(CH45&lt;&gt;"",IF(SUM(Matches!T22:T25)=12,IF(CG54=D54,Bonu1,0)+IF(CI54=G54,Bonu2,0)+IF(AND(CK54&lt;&gt;"",I54&lt;&gt;"",CK54=I54),Bonu3,0),0),"")</f>
        <v/>
      </c>
      <c r="CP54" s="126"/>
      <c r="CQ54" s="383" t="str">
        <f ca="1">VLOOKUP(1,OFFSET('Dummy Table'!DY25:DZ28,0,CP51),2,FALSE)</f>
        <v>France</v>
      </c>
      <c r="CR54" s="383"/>
      <c r="CS54" s="383" t="str">
        <f ca="1">VLOOKUP(2,OFFSET('Dummy Table'!DY25:DZ28,0,CP51),2,FALSE)</f>
        <v>Netherlands</v>
      </c>
      <c r="CT54" s="383"/>
      <c r="CU54" s="384" t="str">
        <f ca="1">IFERROR(IF(MATCH(VLOOKUP(3,OFFSET('Dummy Table'!DY25:DZ28,0,CP51),2,FALSE),OFFSET('Dummy Table'!IU13:IU16,0,CP51),0),VLOOKUP(3,OFFSET('Dummy Table'!DY25:DZ28,0,CP51),2,FALSE),""),"")</f>
        <v>Austria</v>
      </c>
      <c r="CV54" s="384"/>
      <c r="CW54" s="384"/>
      <c r="CX54" s="68"/>
      <c r="CY54" s="78" t="str">
        <f>IF(CR45&lt;&gt;"",IF(SUM(Matches!T22:T25)=12,IF(CQ54=D54,Bonu1,0)+IF(CS54=G54,Bonu2,0)+IF(AND(CU54&lt;&gt;"",I54&lt;&gt;"",CU54=I54),Bonu3,0),0),"")</f>
        <v/>
      </c>
      <c r="CZ54" s="126"/>
      <c r="DA54" s="383" t="str">
        <f ca="1">VLOOKUP(1,OFFSET('Dummy Table'!DY25:DZ28,0,CZ51),2,FALSE)</f>
        <v>France</v>
      </c>
      <c r="DB54" s="383"/>
      <c r="DC54" s="383" t="str">
        <f ca="1">VLOOKUP(2,OFFSET('Dummy Table'!DY25:DZ28,0,CZ51),2,FALSE)</f>
        <v>Netherlands</v>
      </c>
      <c r="DD54" s="383"/>
      <c r="DE54" s="384" t="str">
        <f ca="1">IFERROR(IF(MATCH(VLOOKUP(3,OFFSET('Dummy Table'!DY25:DZ28,0,CZ51),2,FALSE),OFFSET('Dummy Table'!IU13:IU16,0,CZ51),0),VLOOKUP(3,OFFSET('Dummy Table'!DY25:DZ28,0,CZ51),2,FALSE),""),"")</f>
        <v>Austria</v>
      </c>
      <c r="DF54" s="384"/>
      <c r="DG54" s="384"/>
      <c r="DH54" s="68"/>
      <c r="DI54" s="78" t="str">
        <f>IF(DB45&lt;&gt;"",IF(SUM(Matches!T22:T25)=12,IF(DA54=D54,Bonu1,0)+IF(DC54=G54,Bonu2,0)+IF(AND(DE54&lt;&gt;"",I54&lt;&gt;"",DE54=I54),Bonu3,0),0),"")</f>
        <v/>
      </c>
    </row>
    <row r="55" spans="1:113" s="43" customFormat="1" ht="15" customHeight="1" x14ac:dyDescent="0.25">
      <c r="A55" s="41"/>
      <c r="B55" s="65"/>
      <c r="C55" s="87" t="s">
        <v>105</v>
      </c>
      <c r="D55" s="388" t="str">
        <f>Matches!P27</f>
        <v>Romania</v>
      </c>
      <c r="E55" s="388"/>
      <c r="F55" s="388"/>
      <c r="G55" s="388" t="str">
        <f>Matches!P28</f>
        <v>Ukraine</v>
      </c>
      <c r="H55" s="388"/>
      <c r="I55" s="392" t="str">
        <f>IF(ISNA(MATCH(Matches!P29,Qual3,0)),"",Matches!P29)</f>
        <v>Slovakia</v>
      </c>
      <c r="J55" s="393"/>
      <c r="K55" s="66"/>
      <c r="L55" s="66"/>
      <c r="M55" s="67"/>
      <c r="N55" s="126"/>
      <c r="O55" s="383" t="str">
        <f ca="1">VLOOKUP(1,OFFSET('Dummy Table'!DY31:DZ34,0,N51),2,FALSE)</f>
        <v>Belgium</v>
      </c>
      <c r="P55" s="383"/>
      <c r="Q55" s="383" t="str">
        <f ca="1">VLOOKUP(2,OFFSET('Dummy Table'!DY31:DZ34,0,N51),2,FALSE)</f>
        <v>Slovakia</v>
      </c>
      <c r="R55" s="383"/>
      <c r="S55" s="384" t="str">
        <f ca="1">IFERROR(IF(MATCH(VLOOKUP(3,OFFSET('Dummy Table'!DY31:DZ34,0,N51),2,FALSE),OFFSET('Dummy Table'!IU13:IU16,0,N51),0),VLOOKUP(3,OFFSET('Dummy Table'!DY31:DZ34,0,N51),2,FALSE),""),"")</f>
        <v/>
      </c>
      <c r="T55" s="384"/>
      <c r="U55" s="384"/>
      <c r="V55" s="68"/>
      <c r="W55" s="78">
        <f>IF(P45&lt;&gt;"",IF(SUM(Matches!T27:T30)=12,IF(O55=D55,Bonu1,0)+IF(Q55=G55,Bonu2,0)+IF(AND(S55&lt;&gt;"",I55&lt;&gt;"",S55=I55),Bonu3,0),0),"")</f>
        <v>0</v>
      </c>
      <c r="X55" s="126"/>
      <c r="Y55" s="383" t="str">
        <f ca="1">VLOOKUP(1,OFFSET('Dummy Table'!DY31:DZ34,0,X51),2,FALSE)</f>
        <v>Belgium</v>
      </c>
      <c r="Z55" s="383"/>
      <c r="AA55" s="383" t="str">
        <f ca="1">VLOOKUP(2,OFFSET('Dummy Table'!DY31:DZ34,0,X51),2,FALSE)</f>
        <v>Ukraine</v>
      </c>
      <c r="AB55" s="383"/>
      <c r="AC55" s="384" t="str">
        <f ca="1">IFERROR(IF(MATCH(VLOOKUP(3,OFFSET('Dummy Table'!DY31:DZ34,0,X51),2,FALSE),OFFSET('Dummy Table'!IU13:IU16,0,X51),0),VLOOKUP(3,OFFSET('Dummy Table'!DY31:DZ34,0,X51),2,FALSE),""),"")</f>
        <v>Romania</v>
      </c>
      <c r="AD55" s="384"/>
      <c r="AE55" s="384"/>
      <c r="AF55" s="68"/>
      <c r="AG55" s="78">
        <f>IF(Z45&lt;&gt;"",IF(SUM(Matches!T27:T30)=12,IF(Y55=D55,Bonu1,0)+IF(AA55=G55,Bonu2,0)+IF(AND(AC55&lt;&gt;"",I55&lt;&gt;"",AC55=I55),Bonu3,0),0),"")</f>
        <v>0</v>
      </c>
      <c r="AH55" s="126"/>
      <c r="AI55" s="383" t="str">
        <f ca="1">VLOOKUP(1,OFFSET('Dummy Table'!DY31:DZ34,0,AH51),2,FALSE)</f>
        <v>Romania</v>
      </c>
      <c r="AJ55" s="383"/>
      <c r="AK55" s="383" t="str">
        <f ca="1">VLOOKUP(2,OFFSET('Dummy Table'!DY31:DZ34,0,AH51),2,FALSE)</f>
        <v>Ukraine</v>
      </c>
      <c r="AL55" s="383"/>
      <c r="AM55" s="384" t="str">
        <f ca="1">IFERROR(IF(MATCH(VLOOKUP(3,OFFSET('Dummy Table'!DY31:DZ34,0,AH51),2,FALSE),OFFSET('Dummy Table'!IU13:IU16,0,AH51),0),VLOOKUP(3,OFFSET('Dummy Table'!DY31:DZ34,0,AH51),2,FALSE),""),"")</f>
        <v>Belgium</v>
      </c>
      <c r="AN55" s="384"/>
      <c r="AO55" s="384"/>
      <c r="AP55" s="68"/>
      <c r="AQ55" s="78">
        <f>IF(AJ45&lt;&gt;"",IF(SUM(Matches!T27:T30)=12,IF(AI55=D55,Bonu1,0)+IF(AK55=G55,Bonu2,0)+IF(AND(AM55&lt;&gt;"",I55&lt;&gt;"",AM55=I55),Bonu3,0),0),"")</f>
        <v>0</v>
      </c>
      <c r="AR55" s="126"/>
      <c r="AS55" s="383" t="str">
        <f ca="1">VLOOKUP(1,OFFSET('Dummy Table'!DY31:DZ34,0,AR51),2,FALSE)</f>
        <v>Belgium</v>
      </c>
      <c r="AT55" s="383"/>
      <c r="AU55" s="383" t="str">
        <f ca="1">VLOOKUP(2,OFFSET('Dummy Table'!DY31:DZ34,0,AR51),2,FALSE)</f>
        <v>Romania</v>
      </c>
      <c r="AV55" s="383"/>
      <c r="AW55" s="384" t="str">
        <f ca="1">IFERROR(IF(MATCH(VLOOKUP(3,OFFSET('Dummy Table'!DY31:DZ34,0,AR51),2,FALSE),OFFSET('Dummy Table'!IU13:IU16,0,AR51),0),VLOOKUP(3,OFFSET('Dummy Table'!DY31:DZ34,0,AR51),2,FALSE),""),"")</f>
        <v>Ukraine</v>
      </c>
      <c r="AX55" s="384"/>
      <c r="AY55" s="384"/>
      <c r="AZ55" s="68"/>
      <c r="BA55" s="78">
        <f>IF(AT45&lt;&gt;"",IF(SUM(Matches!T27:T30)=12,IF(AS55=D55,Bonu1,0)+IF(AU55=G55,Bonu2,0)+IF(AND(AW55&lt;&gt;"",I55&lt;&gt;"",AW55=I55),Bonu3,0),0),"")</f>
        <v>0</v>
      </c>
      <c r="BB55" s="126"/>
      <c r="BC55" s="383" t="str">
        <f ca="1">VLOOKUP(1,OFFSET('Dummy Table'!DY31:DZ34,0,BB51),2,FALSE)</f>
        <v>Belgium</v>
      </c>
      <c r="BD55" s="383"/>
      <c r="BE55" s="383" t="str">
        <f ca="1">VLOOKUP(2,OFFSET('Dummy Table'!DY31:DZ34,0,BB51),2,FALSE)</f>
        <v>Ukraine</v>
      </c>
      <c r="BF55" s="383"/>
      <c r="BG55" s="384" t="str">
        <f ca="1">IFERROR(IF(MATCH(VLOOKUP(3,OFFSET('Dummy Table'!DY31:DZ34,0,BB51),2,FALSE),OFFSET('Dummy Table'!IU13:IU16,0,BB51),0),VLOOKUP(3,OFFSET('Dummy Table'!DY31:DZ34,0,BB51),2,FALSE),""),"")</f>
        <v/>
      </c>
      <c r="BH55" s="384"/>
      <c r="BI55" s="384"/>
      <c r="BJ55" s="68"/>
      <c r="BK55" s="78">
        <f>IF(BD45&lt;&gt;"",IF(SUM(Matches!T27:T30)=12,IF(BC55=D55,Bonu1,0)+IF(BE55=G55,Bonu2,0)+IF(AND(BG55&lt;&gt;"",I55&lt;&gt;"",BG55=I55),Bonu3,0),0),"")</f>
        <v>0</v>
      </c>
      <c r="BL55" s="126"/>
      <c r="BM55" s="383" t="str">
        <f ca="1">VLOOKUP(1,OFFSET('Dummy Table'!DY31:DZ34,0,BL51),2,FALSE)</f>
        <v>Belgium</v>
      </c>
      <c r="BN55" s="383"/>
      <c r="BO55" s="383" t="str">
        <f ca="1">VLOOKUP(2,OFFSET('Dummy Table'!DY31:DZ34,0,BL51),2,FALSE)</f>
        <v>Ukraine</v>
      </c>
      <c r="BP55" s="383"/>
      <c r="BQ55" s="384" t="str">
        <f ca="1">IFERROR(IF(MATCH(VLOOKUP(3,OFFSET('Dummy Table'!DY31:DZ34,0,BL51),2,FALSE),OFFSET('Dummy Table'!IU13:IU16,0,BL51),0),VLOOKUP(3,OFFSET('Dummy Table'!DY31:DZ34,0,BL51),2,FALSE),""),"")</f>
        <v/>
      </c>
      <c r="BR55" s="384"/>
      <c r="BS55" s="384"/>
      <c r="BT55" s="68"/>
      <c r="BU55" s="78">
        <f>IF(BN45&lt;&gt;"",IF(SUM(Matches!T27:T30)=12,IF(BM55=D55,Bonu1,0)+IF(BO55=G55,Bonu2,0)+IF(AND(BQ55&lt;&gt;"",I55&lt;&gt;"",BQ55=I55),Bonu3,0),0),"")</f>
        <v>0</v>
      </c>
      <c r="BV55" s="126"/>
      <c r="BW55" s="383" t="str">
        <f ca="1">VLOOKUP(1,OFFSET('Dummy Table'!DY31:DZ34,0,BV51),2,FALSE)</f>
        <v>Belgium</v>
      </c>
      <c r="BX55" s="383"/>
      <c r="BY55" s="383" t="str">
        <f ca="1">VLOOKUP(2,OFFSET('Dummy Table'!DY31:DZ34,0,BV51),2,FALSE)</f>
        <v>Ukraine</v>
      </c>
      <c r="BZ55" s="383"/>
      <c r="CA55" s="384" t="str">
        <f ca="1">IFERROR(IF(MATCH(VLOOKUP(3,OFFSET('Dummy Table'!DY31:DZ34,0,BV51),2,FALSE),OFFSET('Dummy Table'!IU13:IU16,0,BV51),0),VLOOKUP(3,OFFSET('Dummy Table'!DY31:DZ34,0,BV51),2,FALSE),""),"")</f>
        <v>Slovakia</v>
      </c>
      <c r="CB55" s="384"/>
      <c r="CC55" s="384"/>
      <c r="CD55" s="68"/>
      <c r="CE55" s="78">
        <f>IF(BX45&lt;&gt;"",IF(SUM(Matches!T27:T30)=12,IF(BW55=D55,Bonu1,0)+IF(BY55=G55,Bonu2,0)+IF(AND(CA55&lt;&gt;"",I55&lt;&gt;"",CA55=I55),Bonu3,0),0),"")</f>
        <v>0</v>
      </c>
      <c r="CF55" s="126"/>
      <c r="CG55" s="383" t="str">
        <f ca="1">VLOOKUP(1,OFFSET('Dummy Table'!DY31:DZ34,0,CF51),2,FALSE)</f>
        <v>Belgium</v>
      </c>
      <c r="CH55" s="383"/>
      <c r="CI55" s="383" t="str">
        <f ca="1">VLOOKUP(2,OFFSET('Dummy Table'!DY31:DZ34,0,CF51),2,FALSE)</f>
        <v>Romania</v>
      </c>
      <c r="CJ55" s="383"/>
      <c r="CK55" s="384" t="str">
        <f ca="1">IFERROR(IF(MATCH(VLOOKUP(3,OFFSET('Dummy Table'!DY31:DZ34,0,CF51),2,FALSE),OFFSET('Dummy Table'!IU13:IU16,0,CF51),0),VLOOKUP(3,OFFSET('Dummy Table'!DY31:DZ34,0,CF51),2,FALSE),""),"")</f>
        <v/>
      </c>
      <c r="CL55" s="384"/>
      <c r="CM55" s="384"/>
      <c r="CN55" s="68"/>
      <c r="CO55" s="78" t="str">
        <f>IF(CH45&lt;&gt;"",IF(SUM(Matches!T27:T30)=12,IF(CG55=D55,Bonu1,0)+IF(CI55=G55,Bonu2,0)+IF(AND(CK55&lt;&gt;"",I55&lt;&gt;"",CK55=I55),Bonu3,0),0),"")</f>
        <v/>
      </c>
      <c r="CP55" s="126"/>
      <c r="CQ55" s="383" t="str">
        <f ca="1">VLOOKUP(1,OFFSET('Dummy Table'!DY31:DZ34,0,CP51),2,FALSE)</f>
        <v>Belgium</v>
      </c>
      <c r="CR55" s="383"/>
      <c r="CS55" s="383" t="str">
        <f ca="1">VLOOKUP(2,OFFSET('Dummy Table'!DY31:DZ34,0,CP51),2,FALSE)</f>
        <v>Romania</v>
      </c>
      <c r="CT55" s="383"/>
      <c r="CU55" s="384" t="str">
        <f ca="1">IFERROR(IF(MATCH(VLOOKUP(3,OFFSET('Dummy Table'!DY31:DZ34,0,CP51),2,FALSE),OFFSET('Dummy Table'!IU13:IU16,0,CP51),0),VLOOKUP(3,OFFSET('Dummy Table'!DY31:DZ34,0,CP51),2,FALSE),""),"")</f>
        <v/>
      </c>
      <c r="CV55" s="384"/>
      <c r="CW55" s="384"/>
      <c r="CX55" s="68"/>
      <c r="CY55" s="78" t="str">
        <f>IF(CR45&lt;&gt;"",IF(SUM(Matches!T27:T30)=12,IF(CQ55=D55,Bonu1,0)+IF(CS55=G55,Bonu2,0)+IF(AND(CU55&lt;&gt;"",I55&lt;&gt;"",CU55=I55),Bonu3,0),0),"")</f>
        <v/>
      </c>
      <c r="CZ55" s="126"/>
      <c r="DA55" s="383" t="str">
        <f ca="1">VLOOKUP(1,OFFSET('Dummy Table'!DY31:DZ34,0,CZ51),2,FALSE)</f>
        <v>Belgium</v>
      </c>
      <c r="DB55" s="383"/>
      <c r="DC55" s="383" t="str">
        <f ca="1">VLOOKUP(2,OFFSET('Dummy Table'!DY31:DZ34,0,CZ51),2,FALSE)</f>
        <v>Romania</v>
      </c>
      <c r="DD55" s="383"/>
      <c r="DE55" s="384" t="str">
        <f ca="1">IFERROR(IF(MATCH(VLOOKUP(3,OFFSET('Dummy Table'!DY31:DZ34,0,CZ51),2,FALSE),OFFSET('Dummy Table'!IU13:IU16,0,CZ51),0),VLOOKUP(3,OFFSET('Dummy Table'!DY31:DZ34,0,CZ51),2,FALSE),""),"")</f>
        <v/>
      </c>
      <c r="DF55" s="384"/>
      <c r="DG55" s="384"/>
      <c r="DH55" s="68"/>
      <c r="DI55" s="78" t="str">
        <f>IF(DB45&lt;&gt;"",IF(SUM(Matches!T27:T30)=12,IF(DA55=D55,Bonu1,0)+IF(DC55=G55,Bonu2,0)+IF(AND(DE55&lt;&gt;"",I55&lt;&gt;"",DE55=I55),Bonu3,0),0),"")</f>
        <v/>
      </c>
    </row>
    <row r="56" spans="1:113" s="43" customFormat="1" ht="15" customHeight="1" x14ac:dyDescent="0.25">
      <c r="A56" s="41"/>
      <c r="B56" s="65"/>
      <c r="C56" s="87" t="s">
        <v>106</v>
      </c>
      <c r="D56" s="388" t="str">
        <f>Matches!P32</f>
        <v>Türkiye</v>
      </c>
      <c r="E56" s="388"/>
      <c r="F56" s="388"/>
      <c r="G56" s="388" t="str">
        <f>Matches!P33</f>
        <v>Portugal</v>
      </c>
      <c r="H56" s="388"/>
      <c r="I56" s="392" t="str">
        <f>IF(ISNA(MATCH(Matches!P34,Qual3,0)),"",Matches!P34)</f>
        <v/>
      </c>
      <c r="J56" s="393"/>
      <c r="K56" s="66"/>
      <c r="L56" s="66"/>
      <c r="M56" s="67"/>
      <c r="N56" s="126"/>
      <c r="O56" s="383" t="str">
        <f ca="1">VLOOKUP(1,OFFSET('Dummy Table'!DY37:DZ40,0,N51),2,FALSE)</f>
        <v>Portugal</v>
      </c>
      <c r="P56" s="383"/>
      <c r="Q56" s="383" t="str">
        <f ca="1">VLOOKUP(2,OFFSET('Dummy Table'!DY37:DZ40,0,N51),2,FALSE)</f>
        <v>Türkiye</v>
      </c>
      <c r="R56" s="383"/>
      <c r="S56" s="384" t="str">
        <f ca="1">IFERROR(IF(MATCH(VLOOKUP(3,OFFSET('Dummy Table'!DY37:DZ40,0,N51),2,FALSE),OFFSET('Dummy Table'!IU13:IU16,0,N51),0),VLOOKUP(3,OFFSET('Dummy Table'!DY37:DZ40,0,N51),2,FALSE),""),"")</f>
        <v>Czechia</v>
      </c>
      <c r="T56" s="384"/>
      <c r="U56" s="384"/>
      <c r="V56" s="68"/>
      <c r="W56" s="78">
        <f>IF(P45&lt;&gt;"",IF(SUM(Matches!T32:T35)=12,IF(O56=D56,Bonu1,0)+IF(Q56=G56,Bonu2,0)+IF(AND(S56&lt;&gt;"",I56&lt;&gt;"",S56=I56),Bonu3,0),0),"")</f>
        <v>0</v>
      </c>
      <c r="X56" s="126"/>
      <c r="Y56" s="383" t="str">
        <f ca="1">VLOOKUP(1,OFFSET('Dummy Table'!DY37:DZ40,0,X51),2,FALSE)</f>
        <v>Czechia</v>
      </c>
      <c r="Z56" s="383"/>
      <c r="AA56" s="383" t="str">
        <f ca="1">VLOOKUP(2,OFFSET('Dummy Table'!DY37:DZ40,0,X51),2,FALSE)</f>
        <v>Portugal</v>
      </c>
      <c r="AB56" s="383"/>
      <c r="AC56" s="384" t="str">
        <f ca="1">IFERROR(IF(MATCH(VLOOKUP(3,OFFSET('Dummy Table'!DY37:DZ40,0,X51),2,FALSE),OFFSET('Dummy Table'!IU13:IU16,0,X51),0),VLOOKUP(3,OFFSET('Dummy Table'!DY37:DZ40,0,X51),2,FALSE),""),"")</f>
        <v>Türkiye</v>
      </c>
      <c r="AD56" s="384"/>
      <c r="AE56" s="384"/>
      <c r="AF56" s="68"/>
      <c r="AG56" s="78">
        <f>IF(Z45&lt;&gt;"",IF(SUM(Matches!T32:T35)=12,IF(Y56=D56,Bonu1,0)+IF(AA56=G56,Bonu2,0)+IF(AND(AC56&lt;&gt;"",I56&lt;&gt;"",AC56=I56),Bonu3,0),0),"")</f>
        <v>0</v>
      </c>
      <c r="AH56" s="126"/>
      <c r="AI56" s="383" t="str">
        <f ca="1">VLOOKUP(1,OFFSET('Dummy Table'!DY37:DZ40,0,AH51),2,FALSE)</f>
        <v>Türkiye</v>
      </c>
      <c r="AJ56" s="383"/>
      <c r="AK56" s="383" t="str">
        <f ca="1">VLOOKUP(2,OFFSET('Dummy Table'!DY37:DZ40,0,AH51),2,FALSE)</f>
        <v>Portugal</v>
      </c>
      <c r="AL56" s="383"/>
      <c r="AM56" s="384" t="str">
        <f ca="1">IFERROR(IF(MATCH(VLOOKUP(3,OFFSET('Dummy Table'!DY37:DZ40,0,AH51),2,FALSE),OFFSET('Dummy Table'!IU13:IU16,0,AH51),0),VLOOKUP(3,OFFSET('Dummy Table'!DY37:DZ40,0,AH51),2,FALSE),""),"")</f>
        <v>Czechia</v>
      </c>
      <c r="AN56" s="384"/>
      <c r="AO56" s="384"/>
      <c r="AP56" s="68"/>
      <c r="AQ56" s="78">
        <f>IF(AJ45&lt;&gt;"",IF(SUM(Matches!T32:T35)=12,IF(AI56=D56,Bonu1,0)+IF(AK56=G56,Bonu2,0)+IF(AND(AM56&lt;&gt;"",I56&lt;&gt;"",AM56=I56),Bonu3,0),0),"")</f>
        <v>0</v>
      </c>
      <c r="AR56" s="126"/>
      <c r="AS56" s="383" t="str">
        <f ca="1">VLOOKUP(1,OFFSET('Dummy Table'!DY37:DZ40,0,AR51),2,FALSE)</f>
        <v>Portugal</v>
      </c>
      <c r="AT56" s="383"/>
      <c r="AU56" s="383" t="str">
        <f ca="1">VLOOKUP(2,OFFSET('Dummy Table'!DY37:DZ40,0,AR51),2,FALSE)</f>
        <v>Türkiye</v>
      </c>
      <c r="AV56" s="383"/>
      <c r="AW56" s="384" t="str">
        <f ca="1">IFERROR(IF(MATCH(VLOOKUP(3,OFFSET('Dummy Table'!DY37:DZ40,0,AR51),2,FALSE),OFFSET('Dummy Table'!IU13:IU16,0,AR51),0),VLOOKUP(3,OFFSET('Dummy Table'!DY37:DZ40,0,AR51),2,FALSE),""),"")</f>
        <v>Czechia</v>
      </c>
      <c r="AX56" s="384"/>
      <c r="AY56" s="384"/>
      <c r="AZ56" s="68"/>
      <c r="BA56" s="78">
        <f>IF(AT45&lt;&gt;"",IF(SUM(Matches!T32:T35)=12,IF(AS56=D56,Bonu1,0)+IF(AU56=G56,Bonu2,0)+IF(AND(AW56&lt;&gt;"",I56&lt;&gt;"",AW56=I56),Bonu3,0),0),"")</f>
        <v>0</v>
      </c>
      <c r="BB56" s="126"/>
      <c r="BC56" s="383" t="str">
        <f ca="1">VLOOKUP(1,OFFSET('Dummy Table'!DY37:DZ40,0,BB51),2,FALSE)</f>
        <v>Portugal</v>
      </c>
      <c r="BD56" s="383"/>
      <c r="BE56" s="383" t="str">
        <f ca="1">VLOOKUP(2,OFFSET('Dummy Table'!DY37:DZ40,0,BB51),2,FALSE)</f>
        <v>Türkiye</v>
      </c>
      <c r="BF56" s="383"/>
      <c r="BG56" s="384" t="str">
        <f ca="1">IFERROR(IF(MATCH(VLOOKUP(3,OFFSET('Dummy Table'!DY37:DZ40,0,BB51),2,FALSE),OFFSET('Dummy Table'!IU13:IU16,0,BB51),0),VLOOKUP(3,OFFSET('Dummy Table'!DY37:DZ40,0,BB51),2,FALSE),""),"")</f>
        <v/>
      </c>
      <c r="BH56" s="384"/>
      <c r="BI56" s="384"/>
      <c r="BJ56" s="68"/>
      <c r="BK56" s="78">
        <f>IF(BD45&lt;&gt;"",IF(SUM(Matches!T32:T35)=12,IF(BC56=D56,Bonu1,0)+IF(BE56=G56,Bonu2,0)+IF(AND(BG56&lt;&gt;"",I56&lt;&gt;"",BG56=I56),Bonu3,0),0),"")</f>
        <v>0</v>
      </c>
      <c r="BL56" s="126"/>
      <c r="BM56" s="383" t="str">
        <f ca="1">VLOOKUP(1,OFFSET('Dummy Table'!DY37:DZ40,0,BL51),2,FALSE)</f>
        <v>Portugal</v>
      </c>
      <c r="BN56" s="383"/>
      <c r="BO56" s="383" t="str">
        <f ca="1">VLOOKUP(2,OFFSET('Dummy Table'!DY37:DZ40,0,BL51),2,FALSE)</f>
        <v>Czechia</v>
      </c>
      <c r="BP56" s="383"/>
      <c r="BQ56" s="384" t="str">
        <f ca="1">IFERROR(IF(MATCH(VLOOKUP(3,OFFSET('Dummy Table'!DY37:DZ40,0,BL51),2,FALSE),OFFSET('Dummy Table'!IU13:IU16,0,BL51),0),VLOOKUP(3,OFFSET('Dummy Table'!DY37:DZ40,0,BL51),2,FALSE),""),"")</f>
        <v>Türkiye</v>
      </c>
      <c r="BR56" s="384"/>
      <c r="BS56" s="384"/>
      <c r="BT56" s="68"/>
      <c r="BU56" s="78">
        <f>IF(BN45&lt;&gt;"",IF(SUM(Matches!T32:T35)=12,IF(BM56=D56,Bonu1,0)+IF(BO56=G56,Bonu2,0)+IF(AND(BQ56&lt;&gt;"",I56&lt;&gt;"",BQ56=I56),Bonu3,0),0),"")</f>
        <v>0</v>
      </c>
      <c r="BV56" s="126"/>
      <c r="BW56" s="383" t="str">
        <f ca="1">VLOOKUP(1,OFFSET('Dummy Table'!DY37:DZ40,0,BV51),2,FALSE)</f>
        <v>Portugal</v>
      </c>
      <c r="BX56" s="383"/>
      <c r="BY56" s="383" t="str">
        <f ca="1">VLOOKUP(2,OFFSET('Dummy Table'!DY37:DZ40,0,BV51),2,FALSE)</f>
        <v>Türkiye</v>
      </c>
      <c r="BZ56" s="383"/>
      <c r="CA56" s="384" t="str">
        <f ca="1">IFERROR(IF(MATCH(VLOOKUP(3,OFFSET('Dummy Table'!DY37:DZ40,0,BV51),2,FALSE),OFFSET('Dummy Table'!IU13:IU16,0,BV51),0),VLOOKUP(3,OFFSET('Dummy Table'!DY37:DZ40,0,BV51),2,FALSE),""),"")</f>
        <v>Czechia</v>
      </c>
      <c r="CB56" s="384"/>
      <c r="CC56" s="384"/>
      <c r="CD56" s="68"/>
      <c r="CE56" s="78">
        <f>IF(BX45&lt;&gt;"",IF(SUM(Matches!T32:T35)=12,IF(BW56=D56,Bonu1,0)+IF(BY56=G56,Bonu2,0)+IF(AND(CA56&lt;&gt;"",I56&lt;&gt;"",CA56=I56),Bonu3,0),0),"")</f>
        <v>0</v>
      </c>
      <c r="CF56" s="126"/>
      <c r="CG56" s="383" t="str">
        <f ca="1">VLOOKUP(1,OFFSET('Dummy Table'!DY37:DZ40,0,CF51),2,FALSE)</f>
        <v>Portugal</v>
      </c>
      <c r="CH56" s="383"/>
      <c r="CI56" s="383" t="str">
        <f ca="1">VLOOKUP(2,OFFSET('Dummy Table'!DY37:DZ40,0,CF51),2,FALSE)</f>
        <v>Türkiye</v>
      </c>
      <c r="CJ56" s="383"/>
      <c r="CK56" s="384" t="str">
        <f ca="1">IFERROR(IF(MATCH(VLOOKUP(3,OFFSET('Dummy Table'!DY37:DZ40,0,CF51),2,FALSE),OFFSET('Dummy Table'!IU13:IU16,0,CF51),0),VLOOKUP(3,OFFSET('Dummy Table'!DY37:DZ40,0,CF51),2,FALSE),""),"")</f>
        <v/>
      </c>
      <c r="CL56" s="384"/>
      <c r="CM56" s="384"/>
      <c r="CN56" s="68"/>
      <c r="CO56" s="78" t="str">
        <f>IF(CH45&lt;&gt;"",IF(SUM(Matches!T32:T35)=12,IF(CG56=D56,Bonu1,0)+IF(CI56=G56,Bonu2,0)+IF(AND(CK56&lt;&gt;"",I56&lt;&gt;"",CK56=I56),Bonu3,0),0),"")</f>
        <v/>
      </c>
      <c r="CP56" s="126"/>
      <c r="CQ56" s="383" t="str">
        <f ca="1">VLOOKUP(1,OFFSET('Dummy Table'!DY37:DZ40,0,CP51),2,FALSE)</f>
        <v>Portugal</v>
      </c>
      <c r="CR56" s="383"/>
      <c r="CS56" s="383" t="str">
        <f ca="1">VLOOKUP(2,OFFSET('Dummy Table'!DY37:DZ40,0,CP51),2,FALSE)</f>
        <v>Türkiye</v>
      </c>
      <c r="CT56" s="383"/>
      <c r="CU56" s="384" t="str">
        <f ca="1">IFERROR(IF(MATCH(VLOOKUP(3,OFFSET('Dummy Table'!DY37:DZ40,0,CP51),2,FALSE),OFFSET('Dummy Table'!IU13:IU16,0,CP51),0),VLOOKUP(3,OFFSET('Dummy Table'!DY37:DZ40,0,CP51),2,FALSE),""),"")</f>
        <v/>
      </c>
      <c r="CV56" s="384"/>
      <c r="CW56" s="384"/>
      <c r="CX56" s="68"/>
      <c r="CY56" s="78" t="str">
        <f>IF(CR45&lt;&gt;"",IF(SUM(Matches!T32:T35)=12,IF(CQ56=D56,Bonu1,0)+IF(CS56=G56,Bonu2,0)+IF(AND(CU56&lt;&gt;"",I56&lt;&gt;"",CU56=I56),Bonu3,0),0),"")</f>
        <v/>
      </c>
      <c r="CZ56" s="126"/>
      <c r="DA56" s="383" t="str">
        <f ca="1">VLOOKUP(1,OFFSET('Dummy Table'!DY37:DZ40,0,CZ51),2,FALSE)</f>
        <v>Portugal</v>
      </c>
      <c r="DB56" s="383"/>
      <c r="DC56" s="383" t="str">
        <f ca="1">VLOOKUP(2,OFFSET('Dummy Table'!DY37:DZ40,0,CZ51),2,FALSE)</f>
        <v>Türkiye</v>
      </c>
      <c r="DD56" s="383"/>
      <c r="DE56" s="384" t="str">
        <f ca="1">IFERROR(IF(MATCH(VLOOKUP(3,OFFSET('Dummy Table'!DY37:DZ40,0,CZ51),2,FALSE),OFFSET('Dummy Table'!IU13:IU16,0,CZ51),0),VLOOKUP(3,OFFSET('Dummy Table'!DY37:DZ40,0,CZ51),2,FALSE),""),"")</f>
        <v/>
      </c>
      <c r="DF56" s="384"/>
      <c r="DG56" s="384"/>
      <c r="DH56" s="68"/>
      <c r="DI56" s="78" t="str">
        <f>IF(DB45&lt;&gt;"",IF(SUM(Matches!T32:T35)=12,IF(DA56=D56,Bonu1,0)+IF(DC56=G56,Bonu2,0)+IF(AND(DE56&lt;&gt;"",I56&lt;&gt;"",DE56=I56),Bonu3,0),0),"")</f>
        <v/>
      </c>
    </row>
    <row r="57" spans="1:113" s="43" customFormat="1" ht="15" customHeight="1" x14ac:dyDescent="0.25">
      <c r="A57" s="41"/>
      <c r="B57" s="65"/>
      <c r="C57" s="88">
        <f>SUM(Matches!T7:T35)</f>
        <v>40</v>
      </c>
      <c r="D57" s="66"/>
      <c r="E57" s="66"/>
      <c r="F57" s="66"/>
      <c r="G57" s="66"/>
      <c r="H57" s="66"/>
      <c r="I57" s="66"/>
      <c r="J57" s="66"/>
      <c r="K57" s="66"/>
      <c r="L57" s="66"/>
      <c r="M57" s="67"/>
      <c r="N57" s="126"/>
      <c r="O57" s="379" t="s">
        <v>110</v>
      </c>
      <c r="P57" s="380"/>
      <c r="Q57" s="380"/>
      <c r="R57" s="381"/>
      <c r="S57" s="382">
        <f ca="1">IF(C57=72,OFFSET('Dummy Table'!IV34,0,N51),0)</f>
        <v>0</v>
      </c>
      <c r="T57" s="382"/>
      <c r="U57" s="382"/>
      <c r="V57" s="68"/>
      <c r="W57" s="78">
        <f ca="1">IF(P45&lt;&gt;"",IF(S57=16,Bonu4,IF(S57&gt;11,Bonu5,IF(S57&gt;7,Bonu7,0))),"")</f>
        <v>0</v>
      </c>
      <c r="X57" s="126"/>
      <c r="Y57" s="379" t="s">
        <v>110</v>
      </c>
      <c r="Z57" s="380"/>
      <c r="AA57" s="380"/>
      <c r="AB57" s="381"/>
      <c r="AC57" s="382">
        <f ca="1">IF(C57=72,OFFSET('Dummy Table'!IV34,0,X51),0)</f>
        <v>0</v>
      </c>
      <c r="AD57" s="382"/>
      <c r="AE57" s="382"/>
      <c r="AF57" s="68"/>
      <c r="AG57" s="78">
        <f ca="1">IF(Z45&lt;&gt;"",IF(AC57=16,Bonu4,IF(AC57&gt;11,Bonu5,IF(AC57&gt;7,Bonu7,0))),"")</f>
        <v>0</v>
      </c>
      <c r="AH57" s="126"/>
      <c r="AI57" s="379" t="s">
        <v>110</v>
      </c>
      <c r="AJ57" s="380"/>
      <c r="AK57" s="380"/>
      <c r="AL57" s="381"/>
      <c r="AM57" s="382">
        <f ca="1">IF(C57=72,OFFSET('Dummy Table'!IV34,0,AH51),0)</f>
        <v>0</v>
      </c>
      <c r="AN57" s="382"/>
      <c r="AO57" s="382"/>
      <c r="AP57" s="68"/>
      <c r="AQ57" s="78">
        <f ca="1">IF(AJ45&lt;&gt;"",IF(AM57=16,Bonu4,IF(AM57&gt;11,Bonu5,IF(AM57&gt;7,Bonu7,0))),"")</f>
        <v>0</v>
      </c>
      <c r="AR57" s="126"/>
      <c r="AS57" s="379" t="s">
        <v>110</v>
      </c>
      <c r="AT57" s="380"/>
      <c r="AU57" s="380"/>
      <c r="AV57" s="381"/>
      <c r="AW57" s="382">
        <f ca="1">IF(C57=72,OFFSET('Dummy Table'!IV34,0,AR51),0)</f>
        <v>0</v>
      </c>
      <c r="AX57" s="382"/>
      <c r="AY57" s="382"/>
      <c r="AZ57" s="68"/>
      <c r="BA57" s="78">
        <f ca="1">IF(AT45&lt;&gt;"",IF(AW57=16,Bonu4,IF(AW57&gt;11,Bonu5,IF(AW57&gt;7,Bonu7,0))),"")</f>
        <v>0</v>
      </c>
      <c r="BB57" s="126"/>
      <c r="BC57" s="379" t="s">
        <v>110</v>
      </c>
      <c r="BD57" s="380"/>
      <c r="BE57" s="380"/>
      <c r="BF57" s="381"/>
      <c r="BG57" s="382">
        <f ca="1">IF(C57=72,OFFSET('Dummy Table'!IV34,0,BB51),0)</f>
        <v>0</v>
      </c>
      <c r="BH57" s="382"/>
      <c r="BI57" s="382"/>
      <c r="BJ57" s="68"/>
      <c r="BK57" s="78">
        <f ca="1">IF(BD45&lt;&gt;"",IF(BG57=16,Bonu4,IF(BG57&gt;11,Bonu5,IF(BG57&gt;7,Bonu7,0))),"")</f>
        <v>0</v>
      </c>
      <c r="BL57" s="126"/>
      <c r="BM57" s="379" t="s">
        <v>110</v>
      </c>
      <c r="BN57" s="380"/>
      <c r="BO57" s="380"/>
      <c r="BP57" s="381"/>
      <c r="BQ57" s="382">
        <f ca="1">IF(C57=72,OFFSET('Dummy Table'!IV34,0,BL51),0)</f>
        <v>0</v>
      </c>
      <c r="BR57" s="382"/>
      <c r="BS57" s="382"/>
      <c r="BT57" s="68"/>
      <c r="BU57" s="78">
        <f ca="1">IF(BN45&lt;&gt;"",IF(BQ57=16,Bonu4,IF(BQ57&gt;11,Bonu5,IF(BQ57&gt;7,Bonu7,0))),"")</f>
        <v>0</v>
      </c>
      <c r="BV57" s="126"/>
      <c r="BW57" s="379" t="s">
        <v>110</v>
      </c>
      <c r="BX57" s="380"/>
      <c r="BY57" s="380"/>
      <c r="BZ57" s="381"/>
      <c r="CA57" s="382">
        <f ca="1">IF(C57=72,OFFSET('Dummy Table'!IV34,0,BV51),0)</f>
        <v>0</v>
      </c>
      <c r="CB57" s="382"/>
      <c r="CC57" s="382"/>
      <c r="CD57" s="68"/>
      <c r="CE57" s="78">
        <f ca="1">IF(BX45&lt;&gt;"",IF(CA57=16,Bonu4,IF(CA57&gt;11,Bonu5,IF(CA57&gt;7,Bonu7,0))),"")</f>
        <v>0</v>
      </c>
      <c r="CF57" s="126"/>
      <c r="CG57" s="379" t="s">
        <v>110</v>
      </c>
      <c r="CH57" s="380"/>
      <c r="CI57" s="380"/>
      <c r="CJ57" s="381"/>
      <c r="CK57" s="382">
        <f ca="1">IF(C57=72,OFFSET('Dummy Table'!IV34,0,CF51),0)</f>
        <v>0</v>
      </c>
      <c r="CL57" s="382"/>
      <c r="CM57" s="382"/>
      <c r="CN57" s="68"/>
      <c r="CO57" s="78" t="str">
        <f>IF(CH45&lt;&gt;"",IF(CK57=16,Bonu4,IF(CK57&gt;11,Bonu5,IF(CK57&gt;7,Bonu7,0))),"")</f>
        <v/>
      </c>
      <c r="CP57" s="126"/>
      <c r="CQ57" s="379" t="s">
        <v>110</v>
      </c>
      <c r="CR57" s="380"/>
      <c r="CS57" s="380"/>
      <c r="CT57" s="381"/>
      <c r="CU57" s="382">
        <f ca="1">IF(C57=72,OFFSET('Dummy Table'!IV34,0,CP51),0)</f>
        <v>0</v>
      </c>
      <c r="CV57" s="382"/>
      <c r="CW57" s="382"/>
      <c r="CX57" s="68"/>
      <c r="CY57" s="78" t="str">
        <f>IF(CR45&lt;&gt;"",IF(CU57=16,Bonu4,IF(CU57&gt;11,Bonu5,IF(CU57&gt;7,Bonu7,0))),"")</f>
        <v/>
      </c>
      <c r="CZ57" s="126"/>
      <c r="DA57" s="379" t="s">
        <v>110</v>
      </c>
      <c r="DB57" s="380"/>
      <c r="DC57" s="380"/>
      <c r="DD57" s="381"/>
      <c r="DE57" s="382">
        <f ca="1">IF(C57=72,OFFSET('Dummy Table'!IV34,0,CZ51),0)</f>
        <v>0</v>
      </c>
      <c r="DF57" s="382"/>
      <c r="DG57" s="382"/>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95" t="str">
        <f>H7</f>
        <v>Score</v>
      </c>
      <c r="I60" s="395"/>
      <c r="J60" s="66"/>
      <c r="K60" s="395" t="s">
        <v>111</v>
      </c>
      <c r="L60" s="395"/>
      <c r="M60" s="89"/>
      <c r="N60" s="126" t="str">
        <f t="shared" ca="1" si="209"/>
        <v>Denmark</v>
      </c>
      <c r="O60" s="129"/>
      <c r="P60" s="378" t="str">
        <f>H60</f>
        <v>Score</v>
      </c>
      <c r="Q60" s="378"/>
      <c r="R60" s="130" t="str">
        <f ca="1">IF(KOGameRule=0,Q56,J67)</f>
        <v>Türkiye</v>
      </c>
      <c r="S60" s="378" t="str">
        <f>K60</f>
        <v>PK</v>
      </c>
      <c r="T60" s="378"/>
      <c r="V60" s="90"/>
      <c r="W60" s="91"/>
      <c r="X60" s="126" t="str">
        <f t="shared" ca="1" si="210"/>
        <v>England</v>
      </c>
      <c r="Y60" s="129"/>
      <c r="Z60" s="378" t="str">
        <f>P60</f>
        <v>Score</v>
      </c>
      <c r="AA60" s="378"/>
      <c r="AB60" s="130"/>
      <c r="AC60" s="378" t="str">
        <f>S60</f>
        <v>PK</v>
      </c>
      <c r="AD60" s="378"/>
      <c r="AF60" s="90"/>
      <c r="AG60" s="91"/>
      <c r="AH60" s="126" t="str">
        <f t="shared" ca="1" si="201"/>
        <v>England</v>
      </c>
      <c r="AI60" s="129"/>
      <c r="AJ60" s="378" t="str">
        <f t="shared" ref="AJ60" si="211">Z60</f>
        <v>Score</v>
      </c>
      <c r="AK60" s="378"/>
      <c r="AL60" s="130"/>
      <c r="AM60" s="378" t="str">
        <f t="shared" ref="AM60" si="212">AC60</f>
        <v>PK</v>
      </c>
      <c r="AN60" s="378"/>
      <c r="AP60" s="90"/>
      <c r="AQ60" s="91"/>
      <c r="AR60" s="126" t="str">
        <f t="shared" ca="1" si="202"/>
        <v>England</v>
      </c>
      <c r="AS60" s="129"/>
      <c r="AT60" s="378" t="str">
        <f t="shared" ref="AT60" si="213">AJ60</f>
        <v>Score</v>
      </c>
      <c r="AU60" s="378"/>
      <c r="AV60" s="130"/>
      <c r="AW60" s="378" t="str">
        <f t="shared" ref="AW60" si="214">AM60</f>
        <v>PK</v>
      </c>
      <c r="AX60" s="378"/>
      <c r="AZ60" s="90"/>
      <c r="BA60" s="91"/>
      <c r="BB60" s="126" t="str">
        <f t="shared" ca="1" si="203"/>
        <v>Denmark</v>
      </c>
      <c r="BC60" s="129"/>
      <c r="BD60" s="378" t="str">
        <f t="shared" ref="BD60" si="215">AT60</f>
        <v>Score</v>
      </c>
      <c r="BE60" s="378"/>
      <c r="BF60" s="130"/>
      <c r="BG60" s="378" t="str">
        <f t="shared" ref="BG60" si="216">AW60</f>
        <v>PK</v>
      </c>
      <c r="BH60" s="378"/>
      <c r="BJ60" s="90"/>
      <c r="BK60" s="91"/>
      <c r="BL60" s="126" t="str">
        <f t="shared" ca="1" si="204"/>
        <v>England</v>
      </c>
      <c r="BM60" s="129"/>
      <c r="BN60" s="378" t="str">
        <f t="shared" ref="BN60" si="217">BD60</f>
        <v>Score</v>
      </c>
      <c r="BO60" s="378"/>
      <c r="BP60" s="130"/>
      <c r="BQ60" s="378" t="str">
        <f t="shared" ref="BQ60" si="218">BG60</f>
        <v>PK</v>
      </c>
      <c r="BR60" s="378"/>
      <c r="BT60" s="90"/>
      <c r="BU60" s="91"/>
      <c r="BV60" s="126" t="str">
        <f t="shared" ca="1" si="205"/>
        <v>England</v>
      </c>
      <c r="BW60" s="129"/>
      <c r="BX60" s="378" t="str">
        <f t="shared" ref="BX60" si="219">BN60</f>
        <v>Score</v>
      </c>
      <c r="BY60" s="378"/>
      <c r="BZ60" s="130"/>
      <c r="CA60" s="378" t="str">
        <f t="shared" ref="CA60" si="220">BQ60</f>
        <v>PK</v>
      </c>
      <c r="CB60" s="378"/>
      <c r="CD60" s="90"/>
      <c r="CE60" s="91"/>
      <c r="CF60" s="126" t="str">
        <f t="shared" ca="1" si="206"/>
        <v>England</v>
      </c>
      <c r="CG60" s="129"/>
      <c r="CH60" s="378" t="str">
        <f t="shared" ref="CH60" si="221">BX60</f>
        <v>Score</v>
      </c>
      <c r="CI60" s="378"/>
      <c r="CJ60" s="130"/>
      <c r="CK60" s="378" t="str">
        <f t="shared" ref="CK60" si="222">CA60</f>
        <v>PK</v>
      </c>
      <c r="CL60" s="378"/>
      <c r="CN60" s="90"/>
      <c r="CO60" s="91"/>
      <c r="CP60" s="126" t="str">
        <f t="shared" ca="1" si="207"/>
        <v>England</v>
      </c>
      <c r="CQ60" s="129"/>
      <c r="CR60" s="378" t="str">
        <f t="shared" ref="CR60" si="223">CH60</f>
        <v>Score</v>
      </c>
      <c r="CS60" s="378"/>
      <c r="CT60" s="130"/>
      <c r="CU60" s="378" t="str">
        <f t="shared" ref="CU60" si="224">CK60</f>
        <v>PK</v>
      </c>
      <c r="CV60" s="378"/>
      <c r="CX60" s="90"/>
      <c r="CY60" s="91"/>
      <c r="CZ60" s="126" t="str">
        <f t="shared" ca="1" si="208"/>
        <v>England</v>
      </c>
      <c r="DA60" s="129"/>
      <c r="DB60" s="378" t="str">
        <f t="shared" ref="DB60" si="225">CR60</f>
        <v>Score</v>
      </c>
      <c r="DC60" s="378"/>
      <c r="DD60" s="130"/>
      <c r="DE60" s="378" t="str">
        <f t="shared" ref="DE60" si="226">CU60</f>
        <v>PK</v>
      </c>
      <c r="DF60" s="378"/>
      <c r="DH60" s="90"/>
      <c r="DI60" s="91"/>
    </row>
    <row r="61" spans="1:113" s="43" customFormat="1" ht="15" customHeight="1" x14ac:dyDescent="0.25">
      <c r="A61" s="41"/>
      <c r="B61" s="65"/>
      <c r="C61" s="92">
        <v>37</v>
      </c>
      <c r="D61" s="95" t="s">
        <v>112</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331">
        <v>3</v>
      </c>
      <c r="AA61" s="332">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v>3</v>
      </c>
      <c r="AK61" s="75">
        <v>0</v>
      </c>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1</v>
      </c>
      <c r="BE61" s="75">
        <v>0</v>
      </c>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v>2</v>
      </c>
      <c r="BO61" s="75">
        <v>1</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112</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33">
        <v>0</v>
      </c>
      <c r="AA62" s="334">
        <v>0</v>
      </c>
      <c r="AB62" s="76" t="str">
        <f ca="1">IF(KOGameRule=0,AA52,J62)</f>
        <v>Italy</v>
      </c>
      <c r="AC62" s="337">
        <v>7</v>
      </c>
      <c r="AD62" s="338">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v>1</v>
      </c>
      <c r="AK62" s="75">
        <v>2</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c r="AU62" s="75"/>
      <c r="AV62" s="76" t="str">
        <f ca="1">IF(KOGameRule=0,AU52,J62)</f>
        <v>Italy</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Scotland</v>
      </c>
      <c r="BD62" s="75">
        <v>0</v>
      </c>
      <c r="BE62" s="75">
        <v>2</v>
      </c>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1</v>
      </c>
      <c r="BO62" s="75">
        <v>2</v>
      </c>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Switzerland</v>
      </c>
      <c r="BX62" s="75"/>
      <c r="BY62" s="75"/>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112</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333">
        <v>3</v>
      </c>
      <c r="AA63" s="334">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v>3</v>
      </c>
      <c r="AK63" s="75">
        <v>0</v>
      </c>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v>2</v>
      </c>
      <c r="BE63" s="75">
        <v>1</v>
      </c>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v>3</v>
      </c>
      <c r="BO63" s="75">
        <v>1</v>
      </c>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112</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33">
        <v>1</v>
      </c>
      <c r="AA64" s="334">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v>2</v>
      </c>
      <c r="AK64" s="75">
        <v>1</v>
      </c>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c r="AU64" s="75"/>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v>1</v>
      </c>
      <c r="BE64" s="75">
        <v>1</v>
      </c>
      <c r="BF64" s="76" t="str">
        <f ca="1">IF(KOGameRule=0,OFFSET('Dummy Table'!IU19,0,BB51),J64)</f>
        <v>Austria</v>
      </c>
      <c r="BG64" s="79">
        <v>4</v>
      </c>
      <c r="BH64" s="79">
        <v>3</v>
      </c>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v>3</v>
      </c>
      <c r="BO64" s="75">
        <v>0</v>
      </c>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75"/>
      <c r="BY64" s="75"/>
      <c r="BZ64" s="76" t="str">
        <f ca="1">IF(KOGameRule=0,OFFSET('Dummy Table'!IU19,0,BV51),J64)</f>
        <v>Slovakia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112</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333">
        <v>0</v>
      </c>
      <c r="AA65" s="334">
        <v>0</v>
      </c>
      <c r="AB65" s="76" t="str">
        <f ca="1">IF(KOGameRule=0,OFFSET('Dummy Table'!IU21,0,X51),J65)</f>
        <v>Hungary</v>
      </c>
      <c r="AC65" s="337">
        <v>3</v>
      </c>
      <c r="AD65" s="338">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v>3</v>
      </c>
      <c r="AK65" s="75">
        <v>1</v>
      </c>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c r="AU65" s="75"/>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v>2</v>
      </c>
      <c r="BE65" s="75">
        <v>0</v>
      </c>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v>2</v>
      </c>
      <c r="BO65" s="75">
        <v>1</v>
      </c>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75"/>
      <c r="BY65" s="75"/>
      <c r="BZ65" s="76" t="str">
        <f ca="1">IF(KOGameRule=0,OFFSET('Dummy Table'!IU21,0,BV51),J65)</f>
        <v>Italy</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112</v>
      </c>
      <c r="E66" s="151">
        <f t="shared" si="247"/>
        <v>45474.75</v>
      </c>
      <c r="F66" s="152">
        <v>45474.75</v>
      </c>
      <c r="G66" s="72" t="str">
        <f>Matches!G49</f>
        <v>Group D Runner Up</v>
      </c>
      <c r="H66" s="75"/>
      <c r="I66" s="75"/>
      <c r="J66" s="73" t="str">
        <f>Matches!J49</f>
        <v>Group E Runner Up</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333">
        <v>2</v>
      </c>
      <c r="AA66" s="334">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v>1</v>
      </c>
      <c r="AK66" s="75">
        <v>1</v>
      </c>
      <c r="AL66" s="76" t="str">
        <f ca="1">IF(KOGameRule=0,AK55,J66)</f>
        <v>Ukraine</v>
      </c>
      <c r="AM66" s="79">
        <v>3</v>
      </c>
      <c r="AN66" s="79">
        <v>5</v>
      </c>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v>3</v>
      </c>
      <c r="BE66" s="75">
        <v>0</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1</v>
      </c>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112</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333">
        <v>2</v>
      </c>
      <c r="AA67" s="334">
        <v>2</v>
      </c>
      <c r="AB67" s="76" t="str">
        <f ca="1">IF(KOGameRule=0,OFFSET('Dummy Table'!IU20,0,X51),J67)</f>
        <v>Croatia</v>
      </c>
      <c r="AC67" s="337">
        <v>5</v>
      </c>
      <c r="AD67" s="338">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v>1</v>
      </c>
      <c r="AK67" s="75">
        <v>2</v>
      </c>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0</v>
      </c>
      <c r="BE67" s="75">
        <v>1</v>
      </c>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1</v>
      </c>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112</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335">
        <v>1</v>
      </c>
      <c r="AA68" s="336">
        <v>1</v>
      </c>
      <c r="AB68" s="114" t="str">
        <f ca="1">IF(KOGameRule=0,AA56,J68)</f>
        <v>Portugal</v>
      </c>
      <c r="AC68" s="337">
        <v>6</v>
      </c>
      <c r="AD68" s="338">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2</v>
      </c>
      <c r="AK68" s="75">
        <v>2</v>
      </c>
      <c r="AL68" s="114" t="str">
        <f ca="1">IF(KOGameRule=0,AK56,J68)</f>
        <v>Portugal</v>
      </c>
      <c r="AM68" s="100">
        <v>5</v>
      </c>
      <c r="AN68" s="100">
        <v>3</v>
      </c>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2</v>
      </c>
      <c r="BE68" s="75">
        <v>1</v>
      </c>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v>2</v>
      </c>
      <c r="BO68" s="75">
        <v>0</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113</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Portugal</v>
      </c>
      <c r="Y69" s="74" t="str">
        <f ca="1">IF(KOGameRule=1,G69,IF(AND(Z63&lt;&gt;"",AA63&lt;&gt;""),IF((Z63+AC63)&gt;(AA63+AD63),Y63,IF((Z63+AC63)&lt;(AA63+AD63),AB63,Matches!G52)),Matches!G52))</f>
        <v>Spain</v>
      </c>
      <c r="Z69" s="339">
        <v>1</v>
      </c>
      <c r="AA69" s="340">
        <v>1</v>
      </c>
      <c r="AB69" s="76" t="str">
        <f ca="1">IF(KOGameRule=1,J69,IF(AND(Z61&lt;&gt;"",AA61&lt;&gt;""),IF((Z61+AC61)&gt;(AA61+AD61),Y61,IF((Z61+AC61)&lt;(AA61+AD61),AB61,Matches!J52)),Matches!J52))</f>
        <v>Germany</v>
      </c>
      <c r="AC69" s="337">
        <v>5</v>
      </c>
      <c r="AD69" s="338">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Portugal</v>
      </c>
      <c r="AI69" s="74" t="str">
        <f ca="1">IF(KOGameRule=1,G69,IF(AND(AJ63&lt;&gt;"",AK63&lt;&gt;""),IF((AJ63+AM63)&gt;(AK63+AN63),AI63,IF((AJ63+AM63)&lt;(AK63+AN63),AL63,Matches!G52)),Matches!G52))</f>
        <v>Spain</v>
      </c>
      <c r="AJ69" s="75">
        <v>2</v>
      </c>
      <c r="AK69" s="75">
        <v>3</v>
      </c>
      <c r="AL69" s="76" t="str">
        <f ca="1">IF(KOGameRule=1,J69,IF(AND(AJ61&lt;&gt;"",AK61&lt;&gt;""),IF((AJ61+AM61)&gt;(AK61+AN61),AI61,IF((AJ61+AM61)&lt;(AK61+AN61),AL61,Matches!J52)),Matches!J52))</f>
        <v>Germany</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Türkiye</v>
      </c>
      <c r="BC69" s="74" t="str">
        <f ca="1">IF(KOGameRule=1,G69,IF(AND(BD63&lt;&gt;"",BE63&lt;&gt;""),IF((BD63+BG63)&gt;(BE63+BH63),BC63,IF((BD63+BG63)&lt;(BE63+BH63),BF63,Matches!G52)),Matches!G52))</f>
        <v>Italy</v>
      </c>
      <c r="BD69" s="75">
        <v>1</v>
      </c>
      <c r="BE69" s="75">
        <v>3</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Spain</v>
      </c>
      <c r="BN69" s="75">
        <v>2</v>
      </c>
      <c r="BO69" s="75">
        <v>1</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113</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339">
        <v>1</v>
      </c>
      <c r="AA70" s="340">
        <v>2</v>
      </c>
      <c r="AB70" s="76" t="str">
        <f ca="1">IF(KOGameRule=1,J70,IF(AND(Z66&lt;&gt;"",AA66&lt;&gt;""),IF((Z66+AC66)&gt;(AA66+AD66),Y66,IF((Z66+AC66)&lt;(AA66+AD66),AB66,Matches!J53)),Matches!J53))</f>
        <v>Poland</v>
      </c>
      <c r="AC70" s="337"/>
      <c r="AD70" s="338"/>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Türkiye</v>
      </c>
      <c r="AJ70" s="75">
        <v>2</v>
      </c>
      <c r="AK70" s="75">
        <v>1</v>
      </c>
      <c r="AL70" s="76" t="str">
        <f ca="1">IF(KOGameRule=1,J70,IF(AND(AJ66&lt;&gt;"",AK66&lt;&gt;""),IF((AJ66+AM66)&gt;(AK66+AN66),AI66,IF((AJ66+AM66)&lt;(AK66+AN66),AL66,Matches!J53)),Matches!J53))</f>
        <v>Ukraine</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 ca="1">IF(KOGameRule=1,G70,IF(AND(BD65&lt;&gt;"",BE65&lt;&gt;""),IF((BD65+BG65)&gt;(BE65+BH65),BC65,IF((BD65+BG65)&lt;(BE65+BH65),BF65,Matches!G53)),Matches!G53))</f>
        <v>Portugal</v>
      </c>
      <c r="BD70" s="75">
        <v>2</v>
      </c>
      <c r="BE70" s="75">
        <v>2</v>
      </c>
      <c r="BF70" s="76" t="str">
        <f ca="1">IF(KOGameRule=1,J70,IF(AND(BD66&lt;&gt;"",BE66&lt;&gt;""),IF((BD66+BG66)&gt;(BE66+BH66),BC66,IF((BD66+BG66)&lt;(BE66+BH66),BF66,Matches!J53)),Matches!J53))</f>
        <v>Netherlands</v>
      </c>
      <c r="BG70" s="79">
        <v>4</v>
      </c>
      <c r="BH70" s="79">
        <v>2</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 ca="1">IF(KOGameRule=1,G70,IF(AND(BN65&lt;&gt;"",BO65&lt;&gt;""),IF((BN65+BQ65)&gt;(BO65+BR65),BM65,IF((BN65+BQ65)&lt;(BO65+BR65),BP65,Matches!G53)),Matches!G53))</f>
        <v>Portugal</v>
      </c>
      <c r="BN70" s="75">
        <v>1</v>
      </c>
      <c r="BO70" s="75">
        <v>2</v>
      </c>
      <c r="BP70" s="76" t="str">
        <f ca="1">IF(KOGameRule=1,J70,IF(AND(BN66&lt;&gt;"",BO66&lt;&gt;""),IF((BN66+BQ66)&gt;(BO66+BR66),BM66,IF((BN66+BQ66)&lt;(BO66+BR66),BP66,Matches!J53)),Matches!J53))</f>
        <v>France</v>
      </c>
      <c r="BQ70" s="79"/>
      <c r="BR70" s="79"/>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113</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339">
        <v>1</v>
      </c>
      <c r="AA71" s="340">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Denmark</v>
      </c>
      <c r="AJ71" s="75">
        <v>0</v>
      </c>
      <c r="AK71" s="75">
        <v>2</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 ca="1">IF(KOGameRule=1,G71,IF(AND(BD67&lt;&gt;"",BE67&lt;&gt;""),IF((BD67+BG67)&gt;(BE67+BH67),BC67,IF((BD67+BG67)&lt;(BE67+BH67),BF67,Matches!G54)),Matches!G54))</f>
        <v>Spain</v>
      </c>
      <c r="BD71" s="75">
        <v>0</v>
      </c>
      <c r="BE71" s="75">
        <v>1</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 ca="1">IF(KOGameRule=1,G71,IF(AND(BN67&lt;&gt;"",BO67&lt;&gt;""),IF((BN67+BQ67)&gt;(BO67+BR67),BM67,IF((BN67+BQ67)&lt;(BO67+BR67),BP67,Matches!G54)),Matches!G54))</f>
        <v>Belgium</v>
      </c>
      <c r="BN71" s="75">
        <v>1</v>
      </c>
      <c r="BO71" s="75">
        <v>2</v>
      </c>
      <c r="BP71" s="76" t="str">
        <f ca="1">IF(KOGameRule=1,J71,IF(AND(BN68&lt;&gt;"",BO68&lt;&gt;""),IF((BN68+BQ68)&gt;(BO68+BR68),BM68,IF((BN68+BQ68)&lt;(BO68+BR68),BP68,Matches!J54)),Matches!J54))</f>
        <v>Netherlands</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41">
        <v>1</v>
      </c>
      <c r="AA72" s="342">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 ca="1">IF(KOGameRule=1,G72,IF(AND(AJ64&lt;&gt;"",AK64&lt;&gt;""),IF((AJ64+AM64)&gt;(AK64+AN64),AI64,IF((AJ64+AM64)&lt;(AK64+AN64),AL64,Matches!G55)),Matches!G55))</f>
        <v>England</v>
      </c>
      <c r="AJ72" s="75">
        <v>1</v>
      </c>
      <c r="AK72" s="75">
        <v>2</v>
      </c>
      <c r="AL72" s="114" t="str">
        <f ca="1">IF(KOGameRule=1,J72,IF(AND(AJ62&lt;&gt;"",AK62&lt;&gt;""),IF((AJ62+AM62)&gt;(AK62+AN62),AI62,IF((AJ62+AM62)&lt;(AK62+AN62),AL62,Matches!J55)),Matches!J55))</f>
        <v>Italy</v>
      </c>
      <c r="AM72" s="100"/>
      <c r="AN72" s="100"/>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 ca="1">IF(KOGameRule=1,G72,IF(AND(BD64&lt;&gt;"",BE64&lt;&gt;""),IF((BD64+BG64)&gt;(BE64+BH64),BC64,IF((BD64+BG64)&lt;(BE64+BH64),BF64,Matches!G55)),Matches!G55))</f>
        <v>Denmark</v>
      </c>
      <c r="BD72" s="75">
        <v>1</v>
      </c>
      <c r="BE72" s="75">
        <v>0</v>
      </c>
      <c r="BF72" s="114" t="str">
        <f ca="1">IF(KOGameRule=1,J72,IF(AND(BD62&lt;&gt;"",BE62&lt;&gt;""),IF((BD62+BG62)&gt;(BE62+BH62),BC62,IF((BD62+BG62)&lt;(BE62+BH62),BF62,Matches!J55)),Matches!J55))</f>
        <v>Croatia</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 ca="1">IF(KOGameRule=1,G72,IF(AND(BN64&lt;&gt;"",BO64&lt;&gt;""),IF((BN64+BQ64)&gt;(BO64+BR64),BM64,IF((BN64+BQ64)&lt;(BO64+BR64),BP64,Matches!G55)),Matches!G55))</f>
        <v>England</v>
      </c>
      <c r="BN72" s="75">
        <v>2</v>
      </c>
      <c r="BO72" s="75">
        <v>1</v>
      </c>
      <c r="BP72" s="114" t="str">
        <f ca="1">IF(KOGameRule=1,J72,IF(AND(BN62&lt;&gt;"",BO62&lt;&gt;""),IF((BN62+BQ62)&gt;(BO62+BR62),BM62,IF((BN62+BQ62)&lt;(BO62+BR62),BP62,Matches!J55)),Matches!J55))</f>
        <v>Italy</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114</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333">
        <v>2</v>
      </c>
      <c r="AA73" s="334">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 ca="1">IF(KOGameRule=1,G73,IF(AND(AJ69&lt;&gt;"",AK69&lt;&gt;""),IF((AJ69+AM69)&gt;(AK69+AN69),AI69,IF((AJ69+AM69)&lt;(AK69+AN69),AL69,Matches!G56)),Matches!G56))</f>
        <v>Germany</v>
      </c>
      <c r="AJ73" s="75">
        <v>2</v>
      </c>
      <c r="AK73" s="75">
        <v>1</v>
      </c>
      <c r="AL73" s="76" t="str">
        <f ca="1">IF(KOGameRule=1,J73,IF(AND(AJ70&lt;&gt;"",AK70&lt;&gt;""),IF((AJ70+AM70)&gt;(AK70+AN70),AI70,IF((AJ70+AM70)&lt;(AK70+AN70),AL70,Matches!J56)),Matches!J56))</f>
        <v>Türkiye</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 ca="1">IF(KOGameRule=1,G73,IF(AND(BD69&lt;&gt;"",BE69&lt;&gt;""),IF((BD69+BG69)&gt;(BE69+BH69),BC69,IF((BD69+BG69)&lt;(BE69+BH69),BF69,Matches!G56)),Matches!G56))</f>
        <v>Germany</v>
      </c>
      <c r="BD73" s="75">
        <v>2</v>
      </c>
      <c r="BE73" s="75">
        <v>1</v>
      </c>
      <c r="BF73" s="76" t="str">
        <f ca="1">IF(KOGameRule=1,J73,IF(AND(BD70&lt;&gt;"",BE70&lt;&gt;""),IF((BD70+BG70)&gt;(BE70+BH70),BC70,IF((BD70+BG70)&lt;(BE70+BH70),BF70,Matches!J56)),Matches!J56))</f>
        <v>Portugal</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 ca="1">IF(KOGameRule=1,G73,IF(AND(BN69&lt;&gt;"",BO69&lt;&gt;""),IF((BN69+BQ69)&gt;(BO69+BR69),BM69,IF((BN69+BQ69)&lt;(BO69+BR69),BP69,Matches!G56)),Matches!G56))</f>
        <v>Spain</v>
      </c>
      <c r="BN73" s="75">
        <v>2</v>
      </c>
      <c r="BO73" s="75">
        <v>1</v>
      </c>
      <c r="BP73" s="76" t="str">
        <f ca="1">IF(KOGameRule=1,J73,IF(AND(BN70&lt;&gt;"",BO70&lt;&gt;""),IF((BN70+BQ70)&gt;(BO70+BR70),BM70,IF((BN70+BQ70)&lt;(BO70+BR70),BP70,Matches!J56)),Matches!J56))</f>
        <v>France</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114</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335">
        <v>1</v>
      </c>
      <c r="AA74" s="336">
        <v>1</v>
      </c>
      <c r="AB74" s="114" t="str">
        <f ca="1">IF(KOGameRule=1,J74,IF(AND(Z72&lt;&gt;"",AA72&lt;&gt;""),IF((Z72+AC72)&gt;(AA72+AD72),Y72,IF((Z72+AC72)&lt;(AA72+AD72),AB72,Matches!J57)),Matches!J57))</f>
        <v>England</v>
      </c>
      <c r="AC74" s="337">
        <v>2</v>
      </c>
      <c r="AD74" s="338">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 ca="1">IF(KOGameRule=1,G74,IF(AND(AJ71&lt;&gt;"",AK71&lt;&gt;""),IF((AJ71+AM71)&gt;(AK71+AN71),AI71,IF((AJ71+AM71)&lt;(AK71+AN71),AL71,Matches!G57)),Matches!G57))</f>
        <v>France</v>
      </c>
      <c r="AJ74" s="75">
        <v>2</v>
      </c>
      <c r="AK74" s="75">
        <v>1</v>
      </c>
      <c r="AL74" s="114" t="str">
        <f ca="1">IF(KOGameRule=1,J74,IF(AND(AJ72&lt;&gt;"",AK72&lt;&gt;""),IF((AJ72+AM72)&gt;(AK72+AN72),AI72,IF((AJ72+AM72)&lt;(AK72+AN72),AL72,Matches!J57)),Matches!J57))</f>
        <v>Italy</v>
      </c>
      <c r="AM74" s="100"/>
      <c r="AN74" s="100"/>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Denmark</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Netherlands</v>
      </c>
      <c r="BN74" s="75">
        <v>1</v>
      </c>
      <c r="BO74" s="75">
        <v>2</v>
      </c>
      <c r="BP74" s="114" t="str">
        <f ca="1">IF(KOGameRule=1,J74,IF(AND(BN72&lt;&gt;"",BO72&lt;&gt;""),IF((BN72+BQ72)&gt;(BO72+BR72),BM72,IF((BN72+BQ72)&lt;(BO72+BR72),BP72,Matches!J57)),Matches!J57))</f>
        <v>England</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106</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333">
        <v>0</v>
      </c>
      <c r="AA75" s="334">
        <v>0</v>
      </c>
      <c r="AB75" s="116" t="str">
        <f ca="1">IF(KOGameRule=1,J75,IF(AND(Z74&lt;&gt;"",AA74&lt;&gt;""),IF((Z74+AC74)&gt;(AA74+AD74),Y74,IF((Z74+AC74)&lt;(AA74+AD74),AB74,Matches!J58)),Matches!J58))</f>
        <v>England</v>
      </c>
      <c r="AC75" s="337">
        <v>10</v>
      </c>
      <c r="AD75" s="338">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 ca="1">IF(KOGameRule=1,G75,IF(AND(AJ73&lt;&gt;"",AK73&lt;&gt;""),IF((AJ73+AM73)&gt;(AK73+AN73),AI73,IF((AJ73+AM73)&lt;(AK73+AN73),AL73,Matches!G58)),Matches!G58))</f>
        <v>Germany</v>
      </c>
      <c r="AJ75" s="75">
        <v>2</v>
      </c>
      <c r="AK75" s="75">
        <v>1</v>
      </c>
      <c r="AL75" s="116" t="str">
        <f ca="1">IF(KOGameRule=1,J75,IF(AND(AJ74&lt;&gt;"",AK74&lt;&gt;""),IF((AJ74+AM74)&gt;(AK74+AN74),AI74,IF((AJ74+AM74)&lt;(AK74+AN74),AL74,Matches!J58)),Matches!J58))</f>
        <v>France</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 ca="1">IF(KOGameRule=1,G75,IF(AND(BD73&lt;&gt;"",BE73&lt;&gt;""),IF((BD73+BG73)&gt;(BE73+BH73),BC73,IF((BD73+BG73)&lt;(BE73+BH73),BF73,Matches!G58)),Matches!G58))</f>
        <v>Germany</v>
      </c>
      <c r="BD75" s="75">
        <v>2</v>
      </c>
      <c r="BE75" s="75">
        <v>1</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 ca="1">IF(KOGameRule=1,G75,IF(AND(BN73&lt;&gt;"",BO73&lt;&gt;""),IF((BN73+BQ73)&gt;(BO73+BR73),BM73,IF((BN73+BQ73)&lt;(BO73+BR73),BP73,Matches!G58)),Matches!G58))</f>
        <v>Spain</v>
      </c>
      <c r="BN75" s="75">
        <v>1</v>
      </c>
      <c r="BO75" s="75">
        <v>2</v>
      </c>
      <c r="BP75" s="116" t="str">
        <f ca="1">IF(KOGameRule=1,J75,IF(AND(BN74&lt;&gt;"",BO74&lt;&gt;""),IF((BN74+BQ74)&gt;(BO74+BR74),BM74,IF((BN74+BQ74)&lt;(BO74+BR74),BP74,Matches!J58)),Matches!J58))</f>
        <v>England</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Czechia</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73" t="s">
        <v>115</v>
      </c>
      <c r="D78" s="374"/>
      <c r="E78" s="374"/>
      <c r="F78" s="374"/>
      <c r="G78" s="370" t="str">
        <f>UPPER(IF(AND(H75&lt;&gt;"",I75&lt;&gt;""),IF((H75+K75)&gt;(I75+L75),G75,IF((H75+K75)&lt;(I75+L75),J75,'Language Table'!C77)),'Language Table'!C77))</f>
        <v>MATCH 51 WINNER</v>
      </c>
      <c r="H78" s="370"/>
      <c r="I78" s="370"/>
      <c r="J78" s="370"/>
      <c r="K78" s="370"/>
      <c r="L78" s="371"/>
      <c r="M78" s="89"/>
      <c r="N78" s="193"/>
      <c r="O78" s="122" t="str">
        <f>C78</f>
        <v>CHAMPION</v>
      </c>
      <c r="P78" s="377" t="str">
        <f ca="1">UPPER(IF(KOGameRule=1,G78,IF(AND(P75&lt;&gt;"",Q75&lt;&gt;""),IF(P75&gt;Q75,O75,IF(P75&lt;Q75,R75,IF(S75&gt;T75,O75,IF(S75&lt;T75,R75,"Match 51 Winner")))),"Match 51 Winner")))</f>
        <v>GERMANY</v>
      </c>
      <c r="Q78" s="377"/>
      <c r="R78" s="377"/>
      <c r="S78" s="377"/>
      <c r="T78" s="377"/>
      <c r="U78" s="401"/>
      <c r="V78" s="357" t="s">
        <v>116</v>
      </c>
      <c r="W78" s="358"/>
      <c r="X78" s="273"/>
      <c r="Y78" s="122" t="str">
        <f>O78</f>
        <v>CHAMPION</v>
      </c>
      <c r="Z78" s="377" t="str">
        <f ca="1">UPPER(IF(KOGameRule=1,G78,IF(AND(Z75&lt;&gt;"",AA75&lt;&gt;""),IF(Z75&gt;AA75,Y75,IF(Z75&lt;AA75,AB75,IF(AC75&gt;AD75,Y75,IF(AC75&lt;AD75,AB75,"Match 51 Winner")))),"Match 51 Winner")))</f>
        <v>GERMANY</v>
      </c>
      <c r="AA78" s="377"/>
      <c r="AB78" s="377"/>
      <c r="AC78" s="377"/>
      <c r="AD78" s="377"/>
      <c r="AE78" s="377"/>
      <c r="AF78" s="357" t="s">
        <v>116</v>
      </c>
      <c r="AG78" s="358"/>
      <c r="AH78" s="193"/>
      <c r="AI78" s="122" t="str">
        <f t="shared" ref="AI78:AI81" si="269">Y78</f>
        <v>CHAMPION</v>
      </c>
      <c r="AJ78" s="377" t="str">
        <f ca="1">UPPER(IF(KOGameRule=1,G78,IF(AND(AJ75&lt;&gt;"",AK75&lt;&gt;""),IF(AJ75&gt;AK75,AI75,IF(AJ75&lt;AK75,AL75,IF(AM75&gt;AN75,AI75,IF(AM75&lt;AN75,AL75,"Match 51 Winner")))),"Match 51 Winner")))</f>
        <v>GERMANY</v>
      </c>
      <c r="AK78" s="377"/>
      <c r="AL78" s="377"/>
      <c r="AM78" s="377"/>
      <c r="AN78" s="377"/>
      <c r="AO78" s="377"/>
      <c r="AP78" s="357" t="s">
        <v>116</v>
      </c>
      <c r="AQ78" s="358"/>
      <c r="AR78" s="193"/>
      <c r="AS78" s="122" t="str">
        <f t="shared" ref="AS78:AS81" si="270">AI78</f>
        <v>CHAMPION</v>
      </c>
      <c r="AT78" s="377" t="str">
        <f>UPPER(IF(KOGameRule=1,G78,IF(AND(AT75&lt;&gt;"",AU75&lt;&gt;""),IF(AT75&gt;AU75,AS75,IF(AT75&lt;AU75,AV75,IF(AW75&gt;AX75,AS75,IF(AW75&lt;AX75,AV75,"Match 51 Winner")))),"Match 51 Winner")))</f>
        <v>MATCH 51 WINNER</v>
      </c>
      <c r="AU78" s="377"/>
      <c r="AV78" s="377"/>
      <c r="AW78" s="377"/>
      <c r="AX78" s="377"/>
      <c r="AY78" s="377"/>
      <c r="AZ78" s="357" t="s">
        <v>116</v>
      </c>
      <c r="BA78" s="358"/>
      <c r="BB78" s="193"/>
      <c r="BC78" s="122" t="str">
        <f t="shared" ref="BC78:BC81" si="271">AS78</f>
        <v>CHAMPION</v>
      </c>
      <c r="BD78" s="377" t="str">
        <f ca="1">UPPER(IF(KOGameRule=1,G78,IF(AND(BD75&lt;&gt;"",BE75&lt;&gt;""),IF(BD75&gt;BE75,BC75,IF(BD75&lt;BE75,BF75,IF(BG75&gt;BH75,BC75,IF(BG75&lt;BH75,BF75,"Match 51 Winner")))),"Match 51 Winner")))</f>
        <v>GERMANY</v>
      </c>
      <c r="BE78" s="377"/>
      <c r="BF78" s="377"/>
      <c r="BG78" s="377"/>
      <c r="BH78" s="377"/>
      <c r="BI78" s="377"/>
      <c r="BJ78" s="357" t="s">
        <v>116</v>
      </c>
      <c r="BK78" s="358"/>
      <c r="BL78" s="193"/>
      <c r="BM78" s="122" t="str">
        <f t="shared" ref="BM78:BM81" si="272">BC78</f>
        <v>CHAMPION</v>
      </c>
      <c r="BN78" s="377" t="str">
        <f ca="1">UPPER(IF(KOGameRule=1,G78,IF(AND(BN75&lt;&gt;"",BO75&lt;&gt;""),IF(BN75&gt;BO75,BM75,IF(BN75&lt;BO75,BP75,IF(BQ75&gt;BR75,BM75,IF(BQ75&lt;BR75,BP75,"Match 51 Winner")))),"Match 51 Winner")))</f>
        <v>ENGLAND</v>
      </c>
      <c r="BO78" s="377"/>
      <c r="BP78" s="377"/>
      <c r="BQ78" s="377"/>
      <c r="BR78" s="377"/>
      <c r="BS78" s="377"/>
      <c r="BT78" s="357" t="s">
        <v>116</v>
      </c>
      <c r="BU78" s="358"/>
      <c r="BV78" s="193"/>
      <c r="BW78" s="122" t="str">
        <f t="shared" ref="BW78:BW81" si="273">BM78</f>
        <v>CHAMPION</v>
      </c>
      <c r="BX78" s="377" t="str">
        <f>UPPER(IF(KOGameRule=1,G78,IF(AND(BX75&lt;&gt;"",BY75&lt;&gt;""),IF(BX75&gt;BY75,BW75,IF(BX75&lt;BY75,BZ75,IF(CA75&gt;CB75,BW75,IF(CA75&lt;CB75,BZ75,"Match 51 Winner")))),"Match 51 Winner")))</f>
        <v>MATCH 51 WINNER</v>
      </c>
      <c r="BY78" s="377"/>
      <c r="BZ78" s="377"/>
      <c r="CA78" s="377"/>
      <c r="CB78" s="377"/>
      <c r="CC78" s="377"/>
      <c r="CD78" s="357" t="s">
        <v>116</v>
      </c>
      <c r="CE78" s="358"/>
      <c r="CF78" s="193"/>
      <c r="CG78" s="122" t="str">
        <f t="shared" ref="CG78:CG81" si="274">BW78</f>
        <v>CHAMPION</v>
      </c>
      <c r="CH78" s="377" t="str">
        <f>UPPER(IF(KOGameRule=1,G78,IF(AND(CH75&lt;&gt;"",CI75&lt;&gt;""),IF(CH75&gt;CI75,CG75,IF(CH75&lt;CI75,CJ75,IF(CK75&gt;CL75,CG75,IF(CK75&lt;CL75,CJ75,"Match 51 Winner")))),"Match 51 Winner")))</f>
        <v>MATCH 51 WINNER</v>
      </c>
      <c r="CI78" s="377"/>
      <c r="CJ78" s="377"/>
      <c r="CK78" s="377"/>
      <c r="CL78" s="377"/>
      <c r="CM78" s="377"/>
      <c r="CN78" s="357" t="s">
        <v>116</v>
      </c>
      <c r="CO78" s="358"/>
      <c r="CP78" s="193"/>
      <c r="CQ78" s="122" t="str">
        <f t="shared" ref="CQ78:CQ81" si="275">CG78</f>
        <v>CHAMPION</v>
      </c>
      <c r="CR78" s="377" t="str">
        <f>UPPER(IF(KOGameRule=1,G78,IF(AND(CR75&lt;&gt;"",CS75&lt;&gt;""),IF(CR75&gt;CS75,CQ75,IF(CR75&lt;CS75,CT75,IF(CU75&gt;CV75,CQ75,IF(CU75&lt;CV75,CT75,"Match 51 Winner")))),"Match 51 Winner")))</f>
        <v>MATCH 51 WINNER</v>
      </c>
      <c r="CS78" s="377"/>
      <c r="CT78" s="377"/>
      <c r="CU78" s="377"/>
      <c r="CV78" s="377"/>
      <c r="CW78" s="377"/>
      <c r="CX78" s="357" t="s">
        <v>116</v>
      </c>
      <c r="CY78" s="358"/>
      <c r="CZ78" s="193"/>
      <c r="DA78" s="122" t="str">
        <f t="shared" ref="DA78:DA81" si="276">CQ78</f>
        <v>CHAMPION</v>
      </c>
      <c r="DB78" s="377" t="str">
        <f>UPPER(IF(KOGameRule=1,G78,IF(AND(DB75&lt;&gt;"",DC75&lt;&gt;""),IF(DB75&gt;DC75,DA75,IF(DB75&lt;DC75,DD75,IF(DE75&gt;DF75,DA75,IF(DE75&lt;DF75,DD75,"Match 51 Winner")))),"Match 51 Winner")))</f>
        <v>MATCH 51 WINNER</v>
      </c>
      <c r="DC78" s="377"/>
      <c r="DD78" s="377"/>
      <c r="DE78" s="377"/>
      <c r="DF78" s="377"/>
      <c r="DG78" s="377"/>
      <c r="DH78" s="357" t="s">
        <v>116</v>
      </c>
      <c r="DI78" s="358"/>
    </row>
    <row r="79" spans="1:113" s="43" customFormat="1" ht="15" customHeight="1" x14ac:dyDescent="0.25">
      <c r="A79" s="41"/>
      <c r="B79" s="65"/>
      <c r="C79" s="368" t="s">
        <v>117</v>
      </c>
      <c r="D79" s="369"/>
      <c r="E79" s="369"/>
      <c r="F79" s="369"/>
      <c r="G79" s="370" t="str">
        <f>UPPER(IF(AND(H75&lt;&gt;"",I75&lt;&gt;""),IF((H75+K75)&gt;(I75+L75),J75,IF((H75+K75)&lt;(I75+L75),G75,"Match 51 Loser")),"Match 51 Loser"))</f>
        <v>MATCH 51 LOSER</v>
      </c>
      <c r="H79" s="370"/>
      <c r="I79" s="370"/>
      <c r="J79" s="370"/>
      <c r="K79" s="370"/>
      <c r="L79" s="371"/>
      <c r="M79" s="89"/>
      <c r="O79" s="122" t="str">
        <f t="shared" ref="O79:O81" si="277">C79</f>
        <v>RUNNER UP</v>
      </c>
      <c r="P79" s="363" t="str">
        <f ca="1">UPPER(IF(KOGameRule=1,G79,IF(AND(P75&lt;&gt;"",Q75&lt;&gt;""),IF(P75&gt;Q75,R75,IF(P75&lt;Q75,O75,IF(S75&gt;T75,R75,IF(S75&lt;T75,O75,"Match 51 Loser")))),"Match 51 Loser")))</f>
        <v>FRANCE</v>
      </c>
      <c r="Q79" s="363"/>
      <c r="R79" s="363"/>
      <c r="S79" s="363"/>
      <c r="T79" s="363"/>
      <c r="U79" s="372"/>
      <c r="V79" s="359"/>
      <c r="W79" s="360"/>
      <c r="Y79" s="122" t="str">
        <f t="shared" ref="Y79:Y81" si="278">O79</f>
        <v>RUNNER UP</v>
      </c>
      <c r="Z79" s="363" t="str">
        <f ca="1">UPPER(IF(KOGameRule=1,G79,IF(AND(Z75&lt;&gt;"",AA75&lt;&gt;""),IF(Z75&gt;AA75,AB75,IF(Z75&lt;AA75,Y75,IF(AC75&gt;AD75,AB75,IF(AC75&lt;AD75,Y75,"Match 51 Loser")))),"Match 51 Loser")))</f>
        <v>ENGLAND</v>
      </c>
      <c r="AA79" s="363"/>
      <c r="AB79" s="363"/>
      <c r="AC79" s="363"/>
      <c r="AD79" s="363"/>
      <c r="AE79" s="363"/>
      <c r="AF79" s="359"/>
      <c r="AG79" s="360"/>
      <c r="AI79" s="122" t="str">
        <f t="shared" si="269"/>
        <v>RUNNER UP</v>
      </c>
      <c r="AJ79" s="363" t="str">
        <f ca="1">UPPER(IF(KOGameRule=1,G79,IF(AND(AJ75&lt;&gt;"",AK75&lt;&gt;""),IF(AJ75&gt;AK75,AL75,IF(AJ75&lt;AK75,AI75,IF(AM75&gt;AN75,AL75,IF(AM75&lt;AN75,AI75,"Match 51 Loser")))),"Match 51 Loser")))</f>
        <v>FRANCE</v>
      </c>
      <c r="AK79" s="363"/>
      <c r="AL79" s="363"/>
      <c r="AM79" s="363"/>
      <c r="AN79" s="363"/>
      <c r="AO79" s="363"/>
      <c r="AP79" s="359"/>
      <c r="AQ79" s="360"/>
      <c r="AS79" s="122" t="str">
        <f t="shared" si="270"/>
        <v>RUNNER UP</v>
      </c>
      <c r="AT79" s="363" t="str">
        <f>UPPER(IF(KOGameRule=1,G79,IF(AND(AT75&lt;&gt;"",AU75&lt;&gt;""),IF(AT75&gt;AU75,AV75,IF(AT75&lt;AU75,AS75,IF(AW75&gt;AX75,AV75,IF(AW75&lt;AX75,AS75,"Match 51 Loser")))),"Match 51 Loser")))</f>
        <v>MATCH 51 LOSER</v>
      </c>
      <c r="AU79" s="363"/>
      <c r="AV79" s="363"/>
      <c r="AW79" s="363"/>
      <c r="AX79" s="363"/>
      <c r="AY79" s="363"/>
      <c r="AZ79" s="359"/>
      <c r="BA79" s="360"/>
      <c r="BC79" s="122" t="str">
        <f t="shared" si="271"/>
        <v>RUNNER UP</v>
      </c>
      <c r="BD79" s="363" t="str">
        <f ca="1">UPPER(IF(KOGameRule=1,G79,IF(AND(BD75&lt;&gt;"",BE75&lt;&gt;""),IF(BD75&gt;BE75,BF75,IF(BD75&lt;BE75,BC75,IF(BG75&gt;BH75,BF75,IF(BG75&lt;BH75,BC75,"Match 51 Loser")))),"Match 51 Loser")))</f>
        <v>FRANCE</v>
      </c>
      <c r="BE79" s="363"/>
      <c r="BF79" s="363"/>
      <c r="BG79" s="363"/>
      <c r="BH79" s="363"/>
      <c r="BI79" s="363"/>
      <c r="BJ79" s="359"/>
      <c r="BK79" s="360"/>
      <c r="BM79" s="122" t="str">
        <f t="shared" si="272"/>
        <v>RUNNER UP</v>
      </c>
      <c r="BN79" s="363" t="str">
        <f ca="1">UPPER(IF(KOGameRule=1,G79,IF(AND(BN75&lt;&gt;"",BO75&lt;&gt;""),IF(BN75&gt;BO75,BP75,IF(BN75&lt;BO75,BM75,IF(BQ75&gt;BR75,BP75,IF(BQ75&lt;BR75,BM75,"Match 51 Loser")))),"Match 51 Loser")))</f>
        <v>SPAIN</v>
      </c>
      <c r="BO79" s="363"/>
      <c r="BP79" s="363"/>
      <c r="BQ79" s="363"/>
      <c r="BR79" s="363"/>
      <c r="BS79" s="363"/>
      <c r="BT79" s="359"/>
      <c r="BU79" s="360"/>
      <c r="BW79" s="122" t="str">
        <f t="shared" si="273"/>
        <v>RUNNER UP</v>
      </c>
      <c r="BX79" s="363" t="str">
        <f>UPPER(IF(KOGameRule=1,G79,IF(AND(BX75&lt;&gt;"",BY75&lt;&gt;""),IF(BX75&gt;BY75,BZ75,IF(BX75&lt;BY75,BW75,IF(CA75&gt;CB75,BZ75,IF(CA75&lt;CB75,BW75,"Match 51 Loser")))),"Match 51 Loser")))</f>
        <v>MATCH 51 LOSER</v>
      </c>
      <c r="BY79" s="363"/>
      <c r="BZ79" s="363"/>
      <c r="CA79" s="363"/>
      <c r="CB79" s="363"/>
      <c r="CC79" s="363"/>
      <c r="CD79" s="359"/>
      <c r="CE79" s="360"/>
      <c r="CG79" s="122" t="str">
        <f t="shared" si="274"/>
        <v>RUNNER UP</v>
      </c>
      <c r="CH79" s="363" t="str">
        <f>UPPER(IF(KOGameRule=1,G79,IF(AND(CH75&lt;&gt;"",CI75&lt;&gt;""),IF(CH75&gt;CI75,CJ75,IF(CH75&lt;CI75,CG75,IF(CK75&gt;CL75,CJ75,IF(CK75&lt;CL75,CG75,"Match 51 Loser")))),"Match 51 Loser")))</f>
        <v>MATCH 51 LOSER</v>
      </c>
      <c r="CI79" s="363"/>
      <c r="CJ79" s="363"/>
      <c r="CK79" s="363"/>
      <c r="CL79" s="363"/>
      <c r="CM79" s="363"/>
      <c r="CN79" s="359"/>
      <c r="CO79" s="360"/>
      <c r="CQ79" s="122" t="str">
        <f t="shared" si="275"/>
        <v>RUNNER UP</v>
      </c>
      <c r="CR79" s="363" t="str">
        <f>UPPER(IF(KOGameRule=1,G79,IF(AND(CR75&lt;&gt;"",CS75&lt;&gt;""),IF(CR75&gt;CS75,CT75,IF(CR75&lt;CS75,CQ75,IF(CU75&gt;CV75,CT75,IF(CU75&lt;CV75,CQ75,"Match 51 Loser")))),"Match 51 Loser")))</f>
        <v>MATCH 51 LOSER</v>
      </c>
      <c r="CS79" s="363"/>
      <c r="CT79" s="363"/>
      <c r="CU79" s="363"/>
      <c r="CV79" s="363"/>
      <c r="CW79" s="363"/>
      <c r="CX79" s="359"/>
      <c r="CY79" s="360"/>
      <c r="DA79" s="122" t="str">
        <f t="shared" si="276"/>
        <v>RUNNER UP</v>
      </c>
      <c r="DB79" s="363" t="str">
        <f>UPPER(IF(KOGameRule=1,G79,IF(AND(DB75&lt;&gt;"",DC75&lt;&gt;""),IF(DB75&gt;DC75,DD75,IF(DB75&lt;DC75,DA75,IF(DE75&gt;DF75,DD75,IF(DE75&lt;DF75,DA75,"Match 51 Loser")))),"Match 51 Loser")))</f>
        <v>MATCH 51 LOSER</v>
      </c>
      <c r="DC79" s="363"/>
      <c r="DD79" s="363"/>
      <c r="DE79" s="363"/>
      <c r="DF79" s="363"/>
      <c r="DG79" s="363"/>
      <c r="DH79" s="359"/>
      <c r="DI79" s="360"/>
    </row>
    <row r="80" spans="1:113" s="43" customFormat="1" ht="15" customHeight="1" x14ac:dyDescent="0.25">
      <c r="A80" s="41"/>
      <c r="B80" s="65"/>
      <c r="C80" s="368" t="s">
        <v>118</v>
      </c>
      <c r="D80" s="369"/>
      <c r="E80" s="369"/>
      <c r="F80" s="369"/>
      <c r="G80" s="370" t="str">
        <f>IF(AND(H73&lt;&gt;"",I73&lt;&gt;""),IF((H73+K73)&gt;(I73+L73),J73,IF((H73+K73)&lt;(I73+L73),G73,"Match 49 Loser")),"Match 49 Loser")</f>
        <v>Match 49 Loser</v>
      </c>
      <c r="H80" s="370"/>
      <c r="I80" s="370"/>
      <c r="J80" s="370"/>
      <c r="K80" s="370"/>
      <c r="L80" s="371"/>
      <c r="M80" s="89"/>
      <c r="O80" s="122" t="str">
        <f t="shared" si="277"/>
        <v>SEMIFINALIST 1</v>
      </c>
      <c r="P80" s="363" t="str">
        <f ca="1">IF(KOGameRule=1,G80,IF(AND(P73&lt;&gt;"",Q73&lt;&gt;""),IF((P73+S73)&gt;(Q73+T73),R73,IF((P73+S73)&lt;(Q73+T73),O73,"Match 49 Loser")),"Match 49 Loser"))</f>
        <v>Netherlands</v>
      </c>
      <c r="Q80" s="363"/>
      <c r="R80" s="363"/>
      <c r="S80" s="363"/>
      <c r="T80" s="363"/>
      <c r="U80" s="372"/>
      <c r="V80" s="359"/>
      <c r="W80" s="360"/>
      <c r="Y80" s="122" t="str">
        <f t="shared" si="278"/>
        <v>SEMIFINALIST 1</v>
      </c>
      <c r="Z80" s="363" t="str">
        <f ca="1">IF(KOGameRule=1,G80,IF(AND(Z73&lt;&gt;"",AA73&lt;&gt;""),IF((Z73+AC73)&gt;(AA73+AD73),AB73,IF((Z73+AC73)&lt;(AA73+AD73),Y73,"Match 49 Loser")),"Match 49 Loser"))</f>
        <v>Poland</v>
      </c>
      <c r="AA80" s="363"/>
      <c r="AB80" s="363"/>
      <c r="AC80" s="363"/>
      <c r="AD80" s="363"/>
      <c r="AE80" s="363"/>
      <c r="AF80" s="359"/>
      <c r="AG80" s="360"/>
      <c r="AI80" s="122" t="str">
        <f t="shared" si="269"/>
        <v>SEMIFINALIST 1</v>
      </c>
      <c r="AJ80" s="363" t="str">
        <f ca="1">IF(KOGameRule=1,G80,IF(AND(AJ73&lt;&gt;"",AK73&lt;&gt;""),IF((AJ73+AM73)&gt;(AK73+AN73),AL73,IF((AJ73+AM73)&lt;(AK73+AN73),AI73,"Match 49 Loser")),"Match 49 Loser"))</f>
        <v>Türkiye</v>
      </c>
      <c r="AK80" s="363"/>
      <c r="AL80" s="363"/>
      <c r="AM80" s="363"/>
      <c r="AN80" s="363"/>
      <c r="AO80" s="363"/>
      <c r="AP80" s="359"/>
      <c r="AQ80" s="360"/>
      <c r="AS80" s="122" t="str">
        <f t="shared" si="270"/>
        <v>SEMIFINALIST 1</v>
      </c>
      <c r="AT80" s="363" t="str">
        <f>IF(KOGameRule=1,G80,IF(AND(AT73&lt;&gt;"",AU73&lt;&gt;""),IF((AT73+AW73)&gt;(AU73+AX73),AV73,IF((AT73+AW73)&lt;(AU73+AX73),AS73,"Match 49 Loser")),"Match 49 Loser"))</f>
        <v>Match 49 Loser</v>
      </c>
      <c r="AU80" s="363"/>
      <c r="AV80" s="363"/>
      <c r="AW80" s="363"/>
      <c r="AX80" s="363"/>
      <c r="AY80" s="363"/>
      <c r="AZ80" s="359"/>
      <c r="BA80" s="360"/>
      <c r="BC80" s="122" t="str">
        <f t="shared" si="271"/>
        <v>SEMIFINALIST 1</v>
      </c>
      <c r="BD80" s="363" t="str">
        <f ca="1">IF(KOGameRule=1,G80,IF(AND(BD73&lt;&gt;"",BE73&lt;&gt;""),IF((BD73+BG73)&gt;(BE73+BH73),BF73,IF((BD73+BG73)&lt;(BE73+BH73),BC73,"Match 49 Loser")),"Match 49 Loser"))</f>
        <v>Portugal</v>
      </c>
      <c r="BE80" s="363"/>
      <c r="BF80" s="363"/>
      <c r="BG80" s="363"/>
      <c r="BH80" s="363"/>
      <c r="BI80" s="363"/>
      <c r="BJ80" s="359"/>
      <c r="BK80" s="360"/>
      <c r="BM80" s="122" t="str">
        <f t="shared" si="272"/>
        <v>SEMIFINALIST 1</v>
      </c>
      <c r="BN80" s="363" t="str">
        <f ca="1">IF(KOGameRule=1,G80,IF(AND(BN73&lt;&gt;"",BO73&lt;&gt;""),IF((BN73+BQ73)&gt;(BO73+BR73),BP73,IF((BN73+BQ73)&lt;(BO73+BR73),BM73,"Match 49 Loser")),"Match 49 Loser"))</f>
        <v>France</v>
      </c>
      <c r="BO80" s="363"/>
      <c r="BP80" s="363"/>
      <c r="BQ80" s="363"/>
      <c r="BR80" s="363"/>
      <c r="BS80" s="363"/>
      <c r="BT80" s="359"/>
      <c r="BU80" s="360"/>
      <c r="BW80" s="122" t="str">
        <f t="shared" si="273"/>
        <v>SEMIFINALIST 1</v>
      </c>
      <c r="BX80" s="363" t="str">
        <f>IF(KOGameRule=1,G80,IF(AND(BX73&lt;&gt;"",BY73&lt;&gt;""),IF((BX73+CA73)&gt;(BY73+CB73),BZ73,IF((BX73+CA73)&lt;(BY73+CB73),BW73,"Match 49 Loser")),"Match 49 Loser"))</f>
        <v>Match 49 Loser</v>
      </c>
      <c r="BY80" s="363"/>
      <c r="BZ80" s="363"/>
      <c r="CA80" s="363"/>
      <c r="CB80" s="363"/>
      <c r="CC80" s="363"/>
      <c r="CD80" s="359"/>
      <c r="CE80" s="360"/>
      <c r="CG80" s="122" t="str">
        <f t="shared" si="274"/>
        <v>SEMIFINALIST 1</v>
      </c>
      <c r="CH80" s="363" t="str">
        <f>IF(KOGameRule=1,G80,IF(AND(CH73&lt;&gt;"",CI73&lt;&gt;""),IF((CH73+CK73)&gt;(CI73+CL73),CJ73,IF((CH73+CK73)&lt;(CI73+CL73),CG73,"Match 49 Loser")),"Match 49 Loser"))</f>
        <v>Match 49 Loser</v>
      </c>
      <c r="CI80" s="363"/>
      <c r="CJ80" s="363"/>
      <c r="CK80" s="363"/>
      <c r="CL80" s="363"/>
      <c r="CM80" s="363"/>
      <c r="CN80" s="359"/>
      <c r="CO80" s="360"/>
      <c r="CQ80" s="122" t="str">
        <f t="shared" si="275"/>
        <v>SEMIFINALIST 1</v>
      </c>
      <c r="CR80" s="363" t="str">
        <f>IF(KOGameRule=1,G80,IF(AND(CR73&lt;&gt;"",CS73&lt;&gt;""),IF((CR73+CU73)&gt;(CS73+CV73),CT73,IF((CR73+CU73)&lt;(CS73+CV73),CQ73,"Match 49 Loser")),"Match 49 Loser"))</f>
        <v>Match 49 Loser</v>
      </c>
      <c r="CS80" s="363"/>
      <c r="CT80" s="363"/>
      <c r="CU80" s="363"/>
      <c r="CV80" s="363"/>
      <c r="CW80" s="363"/>
      <c r="CX80" s="359"/>
      <c r="CY80" s="360"/>
      <c r="DA80" s="122" t="str">
        <f t="shared" si="276"/>
        <v>SEMIFINALIST 1</v>
      </c>
      <c r="DB80" s="363" t="str">
        <f>IF(KOGameRule=1,G80,IF(AND(DB73&lt;&gt;"",DC73&lt;&gt;""),IF((DB73+DE73)&gt;(DC73+DF73),DD73,IF((DB73+DE73)&lt;(DC73+DF73),DA73,"Match 49 Loser")),"Match 49 Loser"))</f>
        <v>Match 49 Loser</v>
      </c>
      <c r="DC80" s="363"/>
      <c r="DD80" s="363"/>
      <c r="DE80" s="363"/>
      <c r="DF80" s="363"/>
      <c r="DG80" s="363"/>
      <c r="DH80" s="359"/>
      <c r="DI80" s="360"/>
    </row>
    <row r="81" spans="1:113" s="43" customFormat="1" ht="15" customHeight="1" x14ac:dyDescent="0.25">
      <c r="A81" s="41"/>
      <c r="B81" s="65"/>
      <c r="C81" s="368" t="s">
        <v>119</v>
      </c>
      <c r="D81" s="369"/>
      <c r="E81" s="369"/>
      <c r="F81" s="369"/>
      <c r="G81" s="370" t="str">
        <f>IF(AND(H74&lt;&gt;"",I74&lt;&gt;""),IF((H74+K74)&gt;(I74+L74),J74,IF((H74+K74)&lt;(I74+L74),G74,"Match 50 Loser")),"Match 50 Loser")</f>
        <v>Match 50 Loser</v>
      </c>
      <c r="H81" s="370"/>
      <c r="I81" s="370"/>
      <c r="J81" s="370"/>
      <c r="K81" s="370"/>
      <c r="L81" s="371"/>
      <c r="M81" s="89"/>
      <c r="O81" s="122" t="str">
        <f t="shared" si="277"/>
        <v>SEMIFINALIST 2</v>
      </c>
      <c r="P81" s="363" t="str">
        <f ca="1">IF(KOGameRule=1,G81,IF(AND(P74&lt;&gt;"",Q74&lt;&gt;""),IF((P74+S74)&gt;(Q74+T74),R74,IF((P74+S74)&lt;(Q74+T74),O74,"Match 50 Loser")),"Match 50 Loser"))</f>
        <v>Denmark</v>
      </c>
      <c r="Q81" s="363"/>
      <c r="R81" s="363"/>
      <c r="S81" s="363"/>
      <c r="T81" s="363"/>
      <c r="U81" s="372"/>
      <c r="V81" s="359"/>
      <c r="W81" s="360"/>
      <c r="Y81" s="122" t="str">
        <f t="shared" si="278"/>
        <v>SEMIFINALIST 2</v>
      </c>
      <c r="Z81" s="363" t="str">
        <f ca="1">IF(KOGameRule=1,G81,IF(AND(Z74&lt;&gt;"",AA74&lt;&gt;""),IF((Z74+AC74)&gt;(AA74+AD74),AB74,IF((Z74+AC74)&lt;(AA74+AD74),Y74,"Match 50 Loser")),"Match 50 Loser"))</f>
        <v>France</v>
      </c>
      <c r="AA81" s="363"/>
      <c r="AB81" s="363"/>
      <c r="AC81" s="363"/>
      <c r="AD81" s="363"/>
      <c r="AE81" s="363"/>
      <c r="AF81" s="359"/>
      <c r="AG81" s="360"/>
      <c r="AI81" s="122" t="str">
        <f t="shared" si="269"/>
        <v>SEMIFINALIST 2</v>
      </c>
      <c r="AJ81" s="363" t="str">
        <f ca="1">IF(KOGameRule=1,G81,IF(AND(AJ74&lt;&gt;"",AK74&lt;&gt;""),IF((AJ74+AM74)&gt;(AK74+AN74),AL74,IF((AJ74+AM74)&lt;(AK74+AN74),AI74,"Match 50 Loser")),"Match 50 Loser"))</f>
        <v>Italy</v>
      </c>
      <c r="AK81" s="363"/>
      <c r="AL81" s="363"/>
      <c r="AM81" s="363"/>
      <c r="AN81" s="363"/>
      <c r="AO81" s="363"/>
      <c r="AP81" s="359"/>
      <c r="AQ81" s="360"/>
      <c r="AS81" s="122" t="str">
        <f t="shared" si="270"/>
        <v>SEMIFINALIST 2</v>
      </c>
      <c r="AT81" s="363" t="str">
        <f>IF(KOGameRule=1,G81,IF(AND(AT74&lt;&gt;"",AU74&lt;&gt;""),IF((AT74+AW74)&gt;(AU74+AX74),AV74,IF((AT74+AW74)&lt;(AU74+AX74),AS74,"Match 50 Loser")),"Match 50 Loser"))</f>
        <v>Match 50 Loser</v>
      </c>
      <c r="AU81" s="363"/>
      <c r="AV81" s="363"/>
      <c r="AW81" s="363"/>
      <c r="AX81" s="363"/>
      <c r="AY81" s="363"/>
      <c r="AZ81" s="359"/>
      <c r="BA81" s="360"/>
      <c r="BC81" s="122" t="str">
        <f t="shared" si="271"/>
        <v>SEMIFINALIST 2</v>
      </c>
      <c r="BD81" s="363" t="str">
        <f ca="1">IF(KOGameRule=1,G81,IF(AND(BD74&lt;&gt;"",BE74&lt;&gt;""),IF((BD74+BG74)&gt;(BE74+BH74),BF74,IF((BD74+BG74)&lt;(BE74+BH74),BC74,"Match 50 Loser")),"Match 50 Loser"))</f>
        <v>Denmark</v>
      </c>
      <c r="BE81" s="363"/>
      <c r="BF81" s="363"/>
      <c r="BG81" s="363"/>
      <c r="BH81" s="363"/>
      <c r="BI81" s="363"/>
      <c r="BJ81" s="359"/>
      <c r="BK81" s="360"/>
      <c r="BM81" s="122" t="str">
        <f t="shared" si="272"/>
        <v>SEMIFINALIST 2</v>
      </c>
      <c r="BN81" s="363" t="str">
        <f ca="1">IF(KOGameRule=1,G81,IF(AND(BN74&lt;&gt;"",BO74&lt;&gt;""),IF((BN74+BQ74)&gt;(BO74+BR74),BP74,IF((BN74+BQ74)&lt;(BO74+BR74),BM74,"Match 50 Loser")),"Match 50 Loser"))</f>
        <v>Netherlands</v>
      </c>
      <c r="BO81" s="363"/>
      <c r="BP81" s="363"/>
      <c r="BQ81" s="363"/>
      <c r="BR81" s="363"/>
      <c r="BS81" s="363"/>
      <c r="BT81" s="359"/>
      <c r="BU81" s="360"/>
      <c r="BW81" s="122" t="str">
        <f t="shared" si="273"/>
        <v>SEMIFINALIST 2</v>
      </c>
      <c r="BX81" s="363" t="str">
        <f>IF(KOGameRule=1,G81,IF(AND(BX74&lt;&gt;"",BY74&lt;&gt;""),IF((BX74+CA74)&gt;(BY74+CB74),BZ74,IF((BX74+CA74)&lt;(BY74+CB74),BW74,"Match 50 Loser")),"Match 50 Loser"))</f>
        <v>Match 50 Loser</v>
      </c>
      <c r="BY81" s="363"/>
      <c r="BZ81" s="363"/>
      <c r="CA81" s="363"/>
      <c r="CB81" s="363"/>
      <c r="CC81" s="363"/>
      <c r="CD81" s="359"/>
      <c r="CE81" s="360"/>
      <c r="CG81" s="122" t="str">
        <f t="shared" si="274"/>
        <v>SEMIFINALIST 2</v>
      </c>
      <c r="CH81" s="363" t="str">
        <f>IF(KOGameRule=1,G81,IF(AND(CH74&lt;&gt;"",CI74&lt;&gt;""),IF((CH74+CK74)&gt;(CI74+CL74),CJ74,IF((CH74+CK74)&lt;(CI74+CL74),CG74,"Match 50 Loser")),"Match 50 Loser"))</f>
        <v>Match 50 Loser</v>
      </c>
      <c r="CI81" s="363"/>
      <c r="CJ81" s="363"/>
      <c r="CK81" s="363"/>
      <c r="CL81" s="363"/>
      <c r="CM81" s="363"/>
      <c r="CN81" s="359"/>
      <c r="CO81" s="360"/>
      <c r="CQ81" s="122" t="str">
        <f t="shared" si="275"/>
        <v>SEMIFINALIST 2</v>
      </c>
      <c r="CR81" s="363" t="str">
        <f>IF(KOGameRule=1,G81,IF(AND(CR74&lt;&gt;"",CS74&lt;&gt;""),IF((CR74+CU74)&gt;(CS74+CV74),CT74,IF((CR74+CU74)&lt;(CS74+CV74),CQ74,"Match 50 Loser")),"Match 50 Loser"))</f>
        <v>Match 50 Loser</v>
      </c>
      <c r="CS81" s="363"/>
      <c r="CT81" s="363"/>
      <c r="CU81" s="363"/>
      <c r="CV81" s="363"/>
      <c r="CW81" s="363"/>
      <c r="CX81" s="359"/>
      <c r="CY81" s="360"/>
      <c r="DA81" s="122" t="str">
        <f t="shared" si="276"/>
        <v>SEMIFINALIST 2</v>
      </c>
      <c r="DB81" s="363" t="str">
        <f>IF(KOGameRule=1,G81,IF(AND(DB74&lt;&gt;"",DC74&lt;&gt;""),IF((DB74+DE74)&gt;(DC74+DF74),DD74,IF((DB74+DE74)&lt;(DC74+DF74),DA74,"Match 50 Loser")),"Match 50 Loser"))</f>
        <v>Match 50 Loser</v>
      </c>
      <c r="DC81" s="363"/>
      <c r="DD81" s="363"/>
      <c r="DE81" s="363"/>
      <c r="DF81" s="363"/>
      <c r="DG81" s="363"/>
      <c r="DH81" s="359"/>
      <c r="DI81" s="360"/>
    </row>
    <row r="82" spans="1:113" s="43" customFormat="1" ht="15" customHeight="1" x14ac:dyDescent="0.25">
      <c r="A82" s="41"/>
      <c r="B82" s="65"/>
      <c r="C82" s="66"/>
      <c r="D82" s="66"/>
      <c r="E82" s="66"/>
      <c r="F82" s="66"/>
      <c r="G82" s="66"/>
      <c r="H82" s="66"/>
      <c r="I82" s="66"/>
      <c r="J82" s="66"/>
      <c r="K82" s="66"/>
      <c r="L82" s="66"/>
      <c r="M82" s="89"/>
      <c r="V82" s="359"/>
      <c r="W82" s="360"/>
      <c r="AF82" s="359"/>
      <c r="AG82" s="360"/>
      <c r="AP82" s="359"/>
      <c r="AQ82" s="360"/>
      <c r="AZ82" s="359"/>
      <c r="BA82" s="360"/>
      <c r="BJ82" s="359"/>
      <c r="BK82" s="360"/>
      <c r="BT82" s="359"/>
      <c r="BU82" s="360"/>
      <c r="CD82" s="359"/>
      <c r="CE82" s="360"/>
      <c r="CN82" s="359"/>
      <c r="CO82" s="360"/>
      <c r="CX82" s="359"/>
      <c r="CY82" s="360"/>
      <c r="DH82" s="359"/>
      <c r="DI82" s="360"/>
    </row>
    <row r="83" spans="1:113" s="43" customFormat="1" ht="15" customHeight="1" x14ac:dyDescent="0.25">
      <c r="A83" s="41"/>
      <c r="B83" s="65"/>
      <c r="C83" s="66"/>
      <c r="D83" s="66"/>
      <c r="E83" s="66"/>
      <c r="F83" s="66"/>
      <c r="G83" s="66"/>
      <c r="H83" s="66"/>
      <c r="I83" s="66"/>
      <c r="J83" s="66"/>
      <c r="K83" s="66"/>
      <c r="L83" s="66"/>
      <c r="M83" s="89"/>
      <c r="O83" s="204" t="s">
        <v>120</v>
      </c>
      <c r="P83" s="44"/>
      <c r="Q83" s="44"/>
      <c r="R83" s="44"/>
      <c r="S83" s="355">
        <v>0</v>
      </c>
      <c r="T83" s="355"/>
      <c r="U83" s="356"/>
      <c r="V83" s="359"/>
      <c r="W83" s="360"/>
      <c r="Y83" s="204" t="s">
        <v>120</v>
      </c>
      <c r="Z83" s="44"/>
      <c r="AA83" s="44"/>
      <c r="AB83" s="44"/>
      <c r="AC83" s="355">
        <v>0</v>
      </c>
      <c r="AD83" s="355"/>
      <c r="AE83" s="356"/>
      <c r="AF83" s="359"/>
      <c r="AG83" s="360"/>
      <c r="AI83" s="204" t="s">
        <v>120</v>
      </c>
      <c r="AJ83" s="44"/>
      <c r="AK83" s="44"/>
      <c r="AL83" s="44"/>
      <c r="AM83" s="355">
        <v>0</v>
      </c>
      <c r="AN83" s="355"/>
      <c r="AO83" s="356"/>
      <c r="AP83" s="359"/>
      <c r="AQ83" s="360"/>
      <c r="AS83" s="204" t="s">
        <v>120</v>
      </c>
      <c r="AT83" s="44"/>
      <c r="AU83" s="44"/>
      <c r="AV83" s="44"/>
      <c r="AW83" s="355">
        <v>0</v>
      </c>
      <c r="AX83" s="355"/>
      <c r="AY83" s="356"/>
      <c r="AZ83" s="359"/>
      <c r="BA83" s="360"/>
      <c r="BC83" s="204" t="s">
        <v>120</v>
      </c>
      <c r="BD83" s="44"/>
      <c r="BE83" s="44"/>
      <c r="BF83" s="44"/>
      <c r="BG83" s="355">
        <v>0</v>
      </c>
      <c r="BH83" s="355"/>
      <c r="BI83" s="356"/>
      <c r="BJ83" s="359"/>
      <c r="BK83" s="360"/>
      <c r="BM83" s="204" t="s">
        <v>120</v>
      </c>
      <c r="BN83" s="44"/>
      <c r="BO83" s="44"/>
      <c r="BP83" s="44"/>
      <c r="BQ83" s="355">
        <v>0</v>
      </c>
      <c r="BR83" s="355"/>
      <c r="BS83" s="356"/>
      <c r="BT83" s="359"/>
      <c r="BU83" s="360"/>
      <c r="BW83" s="204" t="s">
        <v>120</v>
      </c>
      <c r="BX83" s="44"/>
      <c r="BY83" s="44"/>
      <c r="BZ83" s="44"/>
      <c r="CA83" s="355">
        <v>0</v>
      </c>
      <c r="CB83" s="355"/>
      <c r="CC83" s="356"/>
      <c r="CD83" s="359"/>
      <c r="CE83" s="360"/>
      <c r="CG83" s="204" t="s">
        <v>120</v>
      </c>
      <c r="CH83" s="44"/>
      <c r="CI83" s="44"/>
      <c r="CJ83" s="44"/>
      <c r="CK83" s="355">
        <v>0</v>
      </c>
      <c r="CL83" s="355"/>
      <c r="CM83" s="356"/>
      <c r="CN83" s="359"/>
      <c r="CO83" s="360"/>
      <c r="CQ83" s="204" t="s">
        <v>120</v>
      </c>
      <c r="CR83" s="44"/>
      <c r="CS83" s="44"/>
      <c r="CT83" s="44"/>
      <c r="CU83" s="355">
        <v>0</v>
      </c>
      <c r="CV83" s="355"/>
      <c r="CW83" s="356"/>
      <c r="CX83" s="359"/>
      <c r="CY83" s="360"/>
      <c r="DA83" s="204" t="s">
        <v>120</v>
      </c>
      <c r="DB83" s="44"/>
      <c r="DC83" s="44"/>
      <c r="DD83" s="44"/>
      <c r="DE83" s="355">
        <v>0</v>
      </c>
      <c r="DF83" s="355"/>
      <c r="DG83" s="356"/>
      <c r="DH83" s="359"/>
      <c r="DI83" s="360"/>
    </row>
    <row r="84" spans="1:113" s="43" customFormat="1" ht="15" customHeight="1" x14ac:dyDescent="0.25">
      <c r="A84" s="41"/>
      <c r="B84" s="65"/>
      <c r="C84" s="66"/>
      <c r="D84" s="66"/>
      <c r="E84" s="66"/>
      <c r="F84" s="66"/>
      <c r="G84" s="66"/>
      <c r="H84" s="66"/>
      <c r="I84" s="66"/>
      <c r="J84" s="66"/>
      <c r="K84" s="66"/>
      <c r="L84" s="66"/>
      <c r="M84" s="89"/>
      <c r="O84" s="204" t="s">
        <v>121</v>
      </c>
      <c r="P84" s="44"/>
      <c r="Q84" s="44"/>
      <c r="R84" s="44"/>
      <c r="S84" s="355">
        <v>0</v>
      </c>
      <c r="T84" s="355"/>
      <c r="U84" s="356"/>
      <c r="V84" s="359"/>
      <c r="W84" s="360"/>
      <c r="Y84" s="204" t="s">
        <v>121</v>
      </c>
      <c r="Z84" s="44"/>
      <c r="AA84" s="44"/>
      <c r="AB84" s="44"/>
      <c r="AC84" s="355">
        <v>0</v>
      </c>
      <c r="AD84" s="355"/>
      <c r="AE84" s="356"/>
      <c r="AF84" s="359"/>
      <c r="AG84" s="360"/>
      <c r="AI84" s="204" t="s">
        <v>121</v>
      </c>
      <c r="AJ84" s="44"/>
      <c r="AK84" s="44"/>
      <c r="AL84" s="44"/>
      <c r="AM84" s="355">
        <v>0</v>
      </c>
      <c r="AN84" s="355"/>
      <c r="AO84" s="356"/>
      <c r="AP84" s="359"/>
      <c r="AQ84" s="360"/>
      <c r="AS84" s="204" t="s">
        <v>121</v>
      </c>
      <c r="AT84" s="44"/>
      <c r="AU84" s="44"/>
      <c r="AV84" s="44"/>
      <c r="AW84" s="355">
        <v>0</v>
      </c>
      <c r="AX84" s="355"/>
      <c r="AY84" s="356"/>
      <c r="AZ84" s="359"/>
      <c r="BA84" s="360"/>
      <c r="BC84" s="204" t="s">
        <v>121</v>
      </c>
      <c r="BD84" s="44"/>
      <c r="BE84" s="44"/>
      <c r="BF84" s="44"/>
      <c r="BG84" s="355">
        <v>0</v>
      </c>
      <c r="BH84" s="355"/>
      <c r="BI84" s="356"/>
      <c r="BJ84" s="359"/>
      <c r="BK84" s="360"/>
      <c r="BM84" s="204" t="s">
        <v>121</v>
      </c>
      <c r="BN84" s="44"/>
      <c r="BO84" s="44"/>
      <c r="BP84" s="44"/>
      <c r="BQ84" s="355">
        <v>0</v>
      </c>
      <c r="BR84" s="355"/>
      <c r="BS84" s="356"/>
      <c r="BT84" s="359"/>
      <c r="BU84" s="360"/>
      <c r="BW84" s="204" t="s">
        <v>121</v>
      </c>
      <c r="BX84" s="44"/>
      <c r="BY84" s="44"/>
      <c r="BZ84" s="44"/>
      <c r="CA84" s="355">
        <v>0</v>
      </c>
      <c r="CB84" s="355"/>
      <c r="CC84" s="356"/>
      <c r="CD84" s="359"/>
      <c r="CE84" s="360"/>
      <c r="CG84" s="204" t="s">
        <v>121</v>
      </c>
      <c r="CH84" s="44"/>
      <c r="CI84" s="44"/>
      <c r="CJ84" s="44"/>
      <c r="CK84" s="355">
        <v>0</v>
      </c>
      <c r="CL84" s="355"/>
      <c r="CM84" s="356"/>
      <c r="CN84" s="359"/>
      <c r="CO84" s="360"/>
      <c r="CQ84" s="204" t="s">
        <v>121</v>
      </c>
      <c r="CR84" s="44"/>
      <c r="CS84" s="44"/>
      <c r="CT84" s="44"/>
      <c r="CU84" s="355">
        <v>0</v>
      </c>
      <c r="CV84" s="355"/>
      <c r="CW84" s="356"/>
      <c r="CX84" s="359"/>
      <c r="CY84" s="360"/>
      <c r="DA84" s="204" t="s">
        <v>121</v>
      </c>
      <c r="DB84" s="44"/>
      <c r="DC84" s="44"/>
      <c r="DD84" s="44"/>
      <c r="DE84" s="355">
        <v>0</v>
      </c>
      <c r="DF84" s="355"/>
      <c r="DG84" s="356"/>
      <c r="DH84" s="359"/>
      <c r="DI84" s="360"/>
    </row>
    <row r="85" spans="1:113" s="43" customFormat="1" ht="15" customHeight="1" x14ac:dyDescent="0.25">
      <c r="A85" s="41"/>
      <c r="B85" s="65"/>
      <c r="C85" s="66"/>
      <c r="D85" s="66"/>
      <c r="E85" s="66"/>
      <c r="F85" s="66"/>
      <c r="G85" s="66"/>
      <c r="H85" s="66"/>
      <c r="I85" s="66"/>
      <c r="J85" s="66"/>
      <c r="K85" s="66"/>
      <c r="L85" s="66"/>
      <c r="M85" s="89"/>
      <c r="O85" s="204" t="s">
        <v>122</v>
      </c>
      <c r="P85" s="44"/>
      <c r="Q85" s="44"/>
      <c r="R85" s="44"/>
      <c r="S85" s="355">
        <v>0</v>
      </c>
      <c r="T85" s="355"/>
      <c r="U85" s="356"/>
      <c r="V85" s="359"/>
      <c r="W85" s="360"/>
      <c r="Y85" s="204" t="s">
        <v>122</v>
      </c>
      <c r="Z85" s="44"/>
      <c r="AA85" s="44"/>
      <c r="AB85" s="44"/>
      <c r="AC85" s="355">
        <v>0</v>
      </c>
      <c r="AD85" s="355"/>
      <c r="AE85" s="356"/>
      <c r="AF85" s="359"/>
      <c r="AG85" s="360"/>
      <c r="AI85" s="204" t="s">
        <v>122</v>
      </c>
      <c r="AJ85" s="44"/>
      <c r="AK85" s="44"/>
      <c r="AL85" s="44"/>
      <c r="AM85" s="355">
        <v>0</v>
      </c>
      <c r="AN85" s="355"/>
      <c r="AO85" s="356"/>
      <c r="AP85" s="359"/>
      <c r="AQ85" s="360"/>
      <c r="AS85" s="204" t="s">
        <v>122</v>
      </c>
      <c r="AT85" s="44"/>
      <c r="AU85" s="44"/>
      <c r="AV85" s="44"/>
      <c r="AW85" s="355">
        <v>0</v>
      </c>
      <c r="AX85" s="355"/>
      <c r="AY85" s="356"/>
      <c r="AZ85" s="359"/>
      <c r="BA85" s="360"/>
      <c r="BC85" s="204" t="s">
        <v>122</v>
      </c>
      <c r="BD85" s="44"/>
      <c r="BE85" s="44"/>
      <c r="BF85" s="44"/>
      <c r="BG85" s="355">
        <v>0</v>
      </c>
      <c r="BH85" s="355"/>
      <c r="BI85" s="356"/>
      <c r="BJ85" s="359"/>
      <c r="BK85" s="360"/>
      <c r="BM85" s="204" t="s">
        <v>122</v>
      </c>
      <c r="BN85" s="44"/>
      <c r="BO85" s="44"/>
      <c r="BP85" s="44"/>
      <c r="BQ85" s="355">
        <v>0</v>
      </c>
      <c r="BR85" s="355"/>
      <c r="BS85" s="356"/>
      <c r="BT85" s="359"/>
      <c r="BU85" s="360"/>
      <c r="BW85" s="204" t="s">
        <v>122</v>
      </c>
      <c r="BX85" s="44"/>
      <c r="BY85" s="44"/>
      <c r="BZ85" s="44"/>
      <c r="CA85" s="355">
        <v>0</v>
      </c>
      <c r="CB85" s="355"/>
      <c r="CC85" s="356"/>
      <c r="CD85" s="359"/>
      <c r="CE85" s="360"/>
      <c r="CG85" s="204" t="s">
        <v>122</v>
      </c>
      <c r="CH85" s="44"/>
      <c r="CI85" s="44"/>
      <c r="CJ85" s="44"/>
      <c r="CK85" s="355">
        <v>0</v>
      </c>
      <c r="CL85" s="355"/>
      <c r="CM85" s="356"/>
      <c r="CN85" s="359"/>
      <c r="CO85" s="360"/>
      <c r="CQ85" s="204" t="s">
        <v>122</v>
      </c>
      <c r="CR85" s="44"/>
      <c r="CS85" s="44"/>
      <c r="CT85" s="44"/>
      <c r="CU85" s="355">
        <v>0</v>
      </c>
      <c r="CV85" s="355"/>
      <c r="CW85" s="356"/>
      <c r="CX85" s="359"/>
      <c r="CY85" s="360"/>
      <c r="DA85" s="204" t="s">
        <v>122</v>
      </c>
      <c r="DB85" s="44"/>
      <c r="DC85" s="44"/>
      <c r="DD85" s="44"/>
      <c r="DE85" s="355">
        <v>0</v>
      </c>
      <c r="DF85" s="355"/>
      <c r="DG85" s="356"/>
      <c r="DH85" s="359"/>
      <c r="DI85" s="360"/>
    </row>
    <row r="86" spans="1:113" s="43" customFormat="1" ht="15" customHeight="1" x14ac:dyDescent="0.25">
      <c r="A86" s="41"/>
      <c r="B86" s="65"/>
      <c r="C86" s="66"/>
      <c r="D86" s="66"/>
      <c r="E86" s="66"/>
      <c r="F86" s="66"/>
      <c r="G86" s="66"/>
      <c r="H86" s="66"/>
      <c r="I86" s="66"/>
      <c r="J86" s="66"/>
      <c r="K86" s="66"/>
      <c r="L86" s="66"/>
      <c r="M86" s="89"/>
      <c r="V86" s="359"/>
      <c r="W86" s="360"/>
      <c r="AF86" s="359"/>
      <c r="AG86" s="360"/>
      <c r="AP86" s="359"/>
      <c r="AQ86" s="360"/>
      <c r="AZ86" s="359"/>
      <c r="BA86" s="360"/>
      <c r="BJ86" s="359"/>
      <c r="BK86" s="360"/>
      <c r="BT86" s="359"/>
      <c r="BU86" s="360"/>
      <c r="CD86" s="359"/>
      <c r="CE86" s="360"/>
      <c r="CN86" s="359"/>
      <c r="CO86" s="360"/>
      <c r="CX86" s="359"/>
      <c r="CY86" s="360"/>
      <c r="DH86" s="359"/>
      <c r="DI86" s="360"/>
    </row>
    <row r="87" spans="1:113" s="43" customFormat="1" ht="15" customHeight="1" x14ac:dyDescent="0.25">
      <c r="A87" s="41"/>
      <c r="B87" s="65"/>
      <c r="C87" s="373" t="s">
        <v>123</v>
      </c>
      <c r="D87" s="374"/>
      <c r="E87" s="374"/>
      <c r="F87" s="374"/>
      <c r="G87" s="375"/>
      <c r="H87" s="375"/>
      <c r="I87" s="375"/>
      <c r="J87" s="375"/>
      <c r="K87" s="375"/>
      <c r="L87" s="376"/>
      <c r="M87" s="89"/>
      <c r="N87" s="41"/>
      <c r="O87" s="122" t="str">
        <f t="shared" ref="O87:O88" si="279">C87</f>
        <v>BEST PLAYER</v>
      </c>
      <c r="P87" s="364"/>
      <c r="Q87" s="364"/>
      <c r="R87" s="364"/>
      <c r="S87" s="364"/>
      <c r="T87" s="364"/>
      <c r="U87" s="365"/>
      <c r="V87" s="359"/>
      <c r="W87" s="360"/>
      <c r="X87" s="41"/>
      <c r="Y87" s="122" t="str">
        <f>O87</f>
        <v>BEST PLAYER</v>
      </c>
      <c r="Z87" s="364"/>
      <c r="AA87" s="364"/>
      <c r="AB87" s="364"/>
      <c r="AC87" s="364"/>
      <c r="AD87" s="364"/>
      <c r="AE87" s="365"/>
      <c r="AF87" s="359"/>
      <c r="AG87" s="360"/>
      <c r="AH87" s="41"/>
      <c r="AI87" s="122" t="str">
        <f t="shared" ref="AI87:AI88" si="280">Y87</f>
        <v>BEST PLAYER</v>
      </c>
      <c r="AJ87" s="364"/>
      <c r="AK87" s="364"/>
      <c r="AL87" s="364"/>
      <c r="AM87" s="364"/>
      <c r="AN87" s="364"/>
      <c r="AO87" s="365"/>
      <c r="AP87" s="359"/>
      <c r="AQ87" s="360"/>
      <c r="AR87" s="41"/>
      <c r="AS87" s="122" t="str">
        <f t="shared" ref="AS87:AS88" si="281">AI87</f>
        <v>BEST PLAYER</v>
      </c>
      <c r="AT87" s="364"/>
      <c r="AU87" s="364"/>
      <c r="AV87" s="364"/>
      <c r="AW87" s="364"/>
      <c r="AX87" s="364"/>
      <c r="AY87" s="365"/>
      <c r="AZ87" s="359"/>
      <c r="BA87" s="360"/>
      <c r="BB87" s="41"/>
      <c r="BC87" s="122" t="str">
        <f t="shared" ref="BC87:BC88" si="282">AS87</f>
        <v>BEST PLAYER</v>
      </c>
      <c r="BD87" s="364"/>
      <c r="BE87" s="364"/>
      <c r="BF87" s="364"/>
      <c r="BG87" s="364"/>
      <c r="BH87" s="364"/>
      <c r="BI87" s="365"/>
      <c r="BJ87" s="359"/>
      <c r="BK87" s="360"/>
      <c r="BL87" s="41"/>
      <c r="BM87" s="122" t="str">
        <f t="shared" ref="BM87:BM88" si="283">BC87</f>
        <v>BEST PLAYER</v>
      </c>
      <c r="BN87" s="364"/>
      <c r="BO87" s="364"/>
      <c r="BP87" s="364"/>
      <c r="BQ87" s="364"/>
      <c r="BR87" s="364"/>
      <c r="BS87" s="365"/>
      <c r="BT87" s="359"/>
      <c r="BU87" s="360"/>
      <c r="BV87" s="41"/>
      <c r="BW87" s="122" t="str">
        <f t="shared" ref="BW87:BW88" si="284">BM87</f>
        <v>BEST PLAYER</v>
      </c>
      <c r="BX87" s="364"/>
      <c r="BY87" s="364"/>
      <c r="BZ87" s="364"/>
      <c r="CA87" s="364"/>
      <c r="CB87" s="364"/>
      <c r="CC87" s="365"/>
      <c r="CD87" s="359"/>
      <c r="CE87" s="360"/>
      <c r="CF87" s="41"/>
      <c r="CG87" s="122" t="str">
        <f t="shared" ref="CG87:CG88" si="285">BW87</f>
        <v>BEST PLAYER</v>
      </c>
      <c r="CH87" s="364"/>
      <c r="CI87" s="364"/>
      <c r="CJ87" s="364"/>
      <c r="CK87" s="364"/>
      <c r="CL87" s="364"/>
      <c r="CM87" s="365"/>
      <c r="CN87" s="359"/>
      <c r="CO87" s="360"/>
      <c r="CP87" s="41"/>
      <c r="CQ87" s="122" t="str">
        <f t="shared" ref="CQ87:CQ88" si="286">CG87</f>
        <v>BEST PLAYER</v>
      </c>
      <c r="CR87" s="364"/>
      <c r="CS87" s="364"/>
      <c r="CT87" s="364"/>
      <c r="CU87" s="364"/>
      <c r="CV87" s="364"/>
      <c r="CW87" s="365"/>
      <c r="CX87" s="359"/>
      <c r="CY87" s="360"/>
      <c r="CZ87" s="41"/>
      <c r="DA87" s="122" t="str">
        <f t="shared" ref="DA87:DA88" si="287">CQ87</f>
        <v>BEST PLAYER</v>
      </c>
      <c r="DB87" s="364"/>
      <c r="DC87" s="364"/>
      <c r="DD87" s="364"/>
      <c r="DE87" s="364"/>
      <c r="DF87" s="364"/>
      <c r="DG87" s="365"/>
      <c r="DH87" s="359"/>
      <c r="DI87" s="360"/>
    </row>
    <row r="88" spans="1:113" s="43" customFormat="1" ht="15" customHeight="1" x14ac:dyDescent="0.25">
      <c r="A88" s="41"/>
      <c r="B88" s="65"/>
      <c r="C88" s="390" t="s">
        <v>124</v>
      </c>
      <c r="D88" s="391"/>
      <c r="E88" s="391"/>
      <c r="F88" s="391"/>
      <c r="G88" s="397"/>
      <c r="H88" s="397"/>
      <c r="I88" s="397"/>
      <c r="J88" s="397"/>
      <c r="K88" s="397"/>
      <c r="L88" s="398"/>
      <c r="M88" s="89"/>
      <c r="N88" s="41"/>
      <c r="O88" s="122" t="str">
        <f t="shared" si="279"/>
        <v>TOP SCORER</v>
      </c>
      <c r="P88" s="364"/>
      <c r="Q88" s="364"/>
      <c r="R88" s="364"/>
      <c r="S88" s="364"/>
      <c r="T88" s="364"/>
      <c r="U88" s="365"/>
      <c r="V88" s="361"/>
      <c r="W88" s="362"/>
      <c r="X88" s="41"/>
      <c r="Y88" s="122" t="str">
        <f>O88</f>
        <v>TOP SCORER</v>
      </c>
      <c r="Z88" s="364"/>
      <c r="AA88" s="364"/>
      <c r="AB88" s="364"/>
      <c r="AC88" s="364"/>
      <c r="AD88" s="364"/>
      <c r="AE88" s="365"/>
      <c r="AF88" s="361"/>
      <c r="AG88" s="362"/>
      <c r="AH88" s="41"/>
      <c r="AI88" s="122" t="str">
        <f t="shared" si="280"/>
        <v>TOP SCORER</v>
      </c>
      <c r="AJ88" s="364"/>
      <c r="AK88" s="364"/>
      <c r="AL88" s="364"/>
      <c r="AM88" s="364"/>
      <c r="AN88" s="364"/>
      <c r="AO88" s="365"/>
      <c r="AP88" s="361"/>
      <c r="AQ88" s="362"/>
      <c r="AR88" s="41"/>
      <c r="AS88" s="122" t="str">
        <f t="shared" si="281"/>
        <v>TOP SCORER</v>
      </c>
      <c r="AT88" s="364"/>
      <c r="AU88" s="364"/>
      <c r="AV88" s="364"/>
      <c r="AW88" s="364"/>
      <c r="AX88" s="364"/>
      <c r="AY88" s="365"/>
      <c r="AZ88" s="361"/>
      <c r="BA88" s="362"/>
      <c r="BB88" s="41"/>
      <c r="BC88" s="122" t="str">
        <f t="shared" si="282"/>
        <v>TOP SCORER</v>
      </c>
      <c r="BD88" s="364"/>
      <c r="BE88" s="364"/>
      <c r="BF88" s="364"/>
      <c r="BG88" s="364"/>
      <c r="BH88" s="364"/>
      <c r="BI88" s="365"/>
      <c r="BJ88" s="361"/>
      <c r="BK88" s="362"/>
      <c r="BL88" s="41"/>
      <c r="BM88" s="122" t="str">
        <f t="shared" si="283"/>
        <v>TOP SCORER</v>
      </c>
      <c r="BN88" s="364"/>
      <c r="BO88" s="364"/>
      <c r="BP88" s="364"/>
      <c r="BQ88" s="364"/>
      <c r="BR88" s="364"/>
      <c r="BS88" s="365"/>
      <c r="BT88" s="361"/>
      <c r="BU88" s="362"/>
      <c r="BV88" s="41"/>
      <c r="BW88" s="122" t="str">
        <f t="shared" si="284"/>
        <v>TOP SCORER</v>
      </c>
      <c r="BX88" s="364"/>
      <c r="BY88" s="364"/>
      <c r="BZ88" s="364"/>
      <c r="CA88" s="364"/>
      <c r="CB88" s="364"/>
      <c r="CC88" s="365"/>
      <c r="CD88" s="361"/>
      <c r="CE88" s="362"/>
      <c r="CF88" s="41"/>
      <c r="CG88" s="122" t="str">
        <f t="shared" si="285"/>
        <v>TOP SCORER</v>
      </c>
      <c r="CH88" s="364"/>
      <c r="CI88" s="364"/>
      <c r="CJ88" s="364"/>
      <c r="CK88" s="364"/>
      <c r="CL88" s="364"/>
      <c r="CM88" s="365"/>
      <c r="CN88" s="361"/>
      <c r="CO88" s="362"/>
      <c r="CP88" s="41"/>
      <c r="CQ88" s="122" t="str">
        <f t="shared" si="286"/>
        <v>TOP SCORER</v>
      </c>
      <c r="CR88" s="364"/>
      <c r="CS88" s="364"/>
      <c r="CT88" s="364"/>
      <c r="CU88" s="364"/>
      <c r="CV88" s="364"/>
      <c r="CW88" s="365"/>
      <c r="CX88" s="361"/>
      <c r="CY88" s="362"/>
      <c r="CZ88" s="41"/>
      <c r="DA88" s="122" t="str">
        <f t="shared" si="287"/>
        <v>TOP SCORER</v>
      </c>
      <c r="DB88" s="364"/>
      <c r="DC88" s="364"/>
      <c r="DD88" s="364"/>
      <c r="DE88" s="364"/>
      <c r="DF88" s="364"/>
      <c r="DG88" s="365"/>
      <c r="DH88" s="361"/>
      <c r="DI88" s="362"/>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125</v>
      </c>
      <c r="N91" s="84" t="s">
        <v>126</v>
      </c>
      <c r="W91" s="41"/>
      <c r="AG91" s="41"/>
      <c r="AQ91" s="41"/>
      <c r="BA91" s="41"/>
      <c r="BK91" s="41"/>
      <c r="BU91" s="41"/>
      <c r="CE91" s="41"/>
      <c r="CO91" s="41"/>
      <c r="CY91" s="41"/>
      <c r="DI91" s="41"/>
    </row>
    <row r="92" spans="1:113" s="43" customFormat="1" ht="15" customHeight="1" x14ac:dyDescent="0.25">
      <c r="A92" s="41"/>
      <c r="B92" s="199" t="s">
        <v>127</v>
      </c>
      <c r="C92" s="43" t="s">
        <v>128</v>
      </c>
      <c r="N92" s="60" t="s">
        <v>129</v>
      </c>
      <c r="O92" s="125"/>
      <c r="P92" s="125"/>
      <c r="Q92" s="125"/>
      <c r="R92" s="125"/>
      <c r="W92" s="41"/>
      <c r="AG92" s="41"/>
      <c r="AQ92" s="41"/>
      <c r="BA92" s="41"/>
      <c r="BK92" s="41"/>
      <c r="BU92" s="41"/>
      <c r="CE92" s="41"/>
      <c r="CO92" s="41"/>
      <c r="CY92" s="41"/>
      <c r="DI92" s="41"/>
    </row>
    <row r="93" spans="1:113" s="43" customFormat="1" ht="15" customHeight="1" x14ac:dyDescent="0.25">
      <c r="A93" s="41"/>
      <c r="B93" s="199" t="s">
        <v>127</v>
      </c>
      <c r="C93" s="43" t="s">
        <v>130</v>
      </c>
      <c r="N93" s="199" t="s">
        <v>127</v>
      </c>
      <c r="O93" s="43" t="s">
        <v>131</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127</v>
      </c>
      <c r="C94" s="43" t="s">
        <v>132</v>
      </c>
      <c r="N94" s="199" t="s">
        <v>127</v>
      </c>
      <c r="O94" s="367" t="s">
        <v>133</v>
      </c>
      <c r="P94" s="367"/>
      <c r="Q94" s="367"/>
      <c r="R94" s="367"/>
      <c r="S94" s="367"/>
      <c r="T94" s="367"/>
      <c r="U94" s="367"/>
      <c r="V94" s="367"/>
      <c r="W94" s="367"/>
      <c r="AG94" s="41"/>
      <c r="AQ94" s="41"/>
      <c r="BA94" s="41"/>
      <c r="BK94" s="41"/>
      <c r="BU94" s="41"/>
      <c r="CE94" s="41"/>
      <c r="CO94" s="41"/>
      <c r="CY94" s="41"/>
      <c r="DI94" s="41"/>
    </row>
    <row r="95" spans="1:113" s="43" customFormat="1" ht="15" customHeight="1" x14ac:dyDescent="0.25">
      <c r="A95" s="41"/>
      <c r="C95" s="198"/>
      <c r="O95" s="367"/>
      <c r="P95" s="367"/>
      <c r="Q95" s="367"/>
      <c r="R95" s="367"/>
      <c r="S95" s="367"/>
      <c r="T95" s="367"/>
      <c r="U95" s="367"/>
      <c r="V95" s="367"/>
      <c r="W95" s="367"/>
      <c r="AG95" s="41"/>
      <c r="AQ95" s="41"/>
      <c r="BA95" s="41"/>
      <c r="BK95" s="41"/>
      <c r="BU95" s="41"/>
      <c r="CE95" s="41"/>
      <c r="CO95" s="41"/>
      <c r="CY95" s="41"/>
      <c r="DI95" s="41"/>
    </row>
    <row r="96" spans="1:113" s="43" customFormat="1" ht="15" customHeight="1" x14ac:dyDescent="0.25">
      <c r="A96" s="41"/>
      <c r="N96" s="199" t="s">
        <v>127</v>
      </c>
      <c r="O96" s="43" t="s">
        <v>134</v>
      </c>
      <c r="W96" s="41"/>
      <c r="AG96" s="41"/>
      <c r="AQ96" s="41"/>
      <c r="BA96" s="41"/>
      <c r="BK96" s="41"/>
      <c r="BU96" s="41"/>
      <c r="CE96" s="41"/>
      <c r="CO96" s="41"/>
      <c r="CY96" s="41"/>
      <c r="DI96" s="41"/>
    </row>
    <row r="97" spans="1:113" s="43" customFormat="1" ht="15" customHeight="1" x14ac:dyDescent="0.25">
      <c r="A97" s="41"/>
      <c r="B97" s="199" t="s">
        <v>127</v>
      </c>
      <c r="C97" s="366" t="s">
        <v>135</v>
      </c>
      <c r="D97" s="366"/>
      <c r="E97" s="366"/>
      <c r="F97" s="366"/>
      <c r="G97" s="366"/>
      <c r="H97" s="366"/>
      <c r="I97" s="366"/>
      <c r="J97" s="366"/>
      <c r="K97" s="366"/>
      <c r="L97" s="366"/>
      <c r="N97" s="199" t="s">
        <v>127</v>
      </c>
      <c r="O97" s="43" t="s">
        <v>136</v>
      </c>
      <c r="W97" s="41"/>
      <c r="AG97" s="41"/>
      <c r="AQ97" s="41"/>
      <c r="BA97" s="41"/>
      <c r="BK97" s="41"/>
      <c r="BU97" s="41"/>
      <c r="CE97" s="41"/>
      <c r="CO97" s="41"/>
      <c r="CY97" s="41"/>
      <c r="DI97" s="41"/>
    </row>
    <row r="98" spans="1:113" s="43" customFormat="1" ht="15" customHeight="1" x14ac:dyDescent="0.25">
      <c r="A98" s="41"/>
      <c r="C98" s="366"/>
      <c r="D98" s="366"/>
      <c r="E98" s="366"/>
      <c r="F98" s="366"/>
      <c r="G98" s="366"/>
      <c r="H98" s="366"/>
      <c r="I98" s="366"/>
      <c r="J98" s="366"/>
      <c r="K98" s="366"/>
      <c r="L98" s="366"/>
      <c r="N98" s="204" t="s">
        <v>137</v>
      </c>
      <c r="O98" s="44"/>
      <c r="P98" s="44"/>
      <c r="Q98" s="44"/>
      <c r="R98" s="44"/>
      <c r="W98" s="41"/>
      <c r="AG98" s="41"/>
      <c r="AQ98" s="41"/>
      <c r="BA98" s="41"/>
      <c r="BK98" s="41"/>
      <c r="BU98" s="41"/>
      <c r="CE98" s="41"/>
      <c r="CO98" s="41"/>
      <c r="CY98" s="41"/>
      <c r="DI98" s="41"/>
    </row>
    <row r="99" spans="1:113" s="43" customFormat="1" ht="15" customHeight="1" x14ac:dyDescent="0.25">
      <c r="A99" s="41"/>
      <c r="N99" s="199" t="s">
        <v>127</v>
      </c>
      <c r="O99" s="43" t="s">
        <v>138</v>
      </c>
      <c r="W99" s="41"/>
      <c r="AG99" s="41"/>
      <c r="AQ99" s="41"/>
      <c r="BA99" s="41"/>
      <c r="BK99" s="41"/>
      <c r="BU99" s="41"/>
      <c r="CE99" s="41"/>
      <c r="CO99" s="41"/>
      <c r="CY99" s="41"/>
      <c r="DI99" s="41"/>
    </row>
    <row r="100" spans="1:113" s="43" customFormat="1" ht="15" customHeight="1" x14ac:dyDescent="0.25">
      <c r="A100" s="41"/>
      <c r="N100" s="199" t="s">
        <v>127</v>
      </c>
      <c r="O100" s="367" t="s">
        <v>139</v>
      </c>
      <c r="P100" s="367"/>
      <c r="Q100" s="367"/>
      <c r="R100" s="367"/>
      <c r="S100" s="367"/>
      <c r="T100" s="367"/>
      <c r="U100" s="367"/>
      <c r="V100" s="367"/>
      <c r="W100" s="367"/>
      <c r="AG100" s="41"/>
      <c r="AQ100" s="41"/>
      <c r="BA100" s="41"/>
      <c r="BK100" s="41"/>
      <c r="BU100" s="41"/>
      <c r="CE100" s="41"/>
      <c r="CO100" s="41"/>
      <c r="CY100" s="41"/>
      <c r="DI100" s="41"/>
    </row>
    <row r="101" spans="1:113" s="43" customFormat="1" ht="15" customHeight="1" x14ac:dyDescent="0.25">
      <c r="A101" s="41"/>
      <c r="O101" s="367"/>
      <c r="P101" s="367"/>
      <c r="Q101" s="367"/>
      <c r="R101" s="367"/>
      <c r="S101" s="367"/>
      <c r="T101" s="367"/>
      <c r="U101" s="367"/>
      <c r="V101" s="367"/>
      <c r="W101" s="367"/>
      <c r="AG101" s="41"/>
      <c r="AQ101" s="41"/>
      <c r="BA101" s="41"/>
      <c r="BK101" s="41"/>
      <c r="BU101" s="41"/>
      <c r="CE101" s="41"/>
      <c r="CO101" s="41"/>
      <c r="CY101" s="41"/>
      <c r="DI101" s="41"/>
    </row>
    <row r="102" spans="1:113" s="43" customFormat="1" ht="15" customHeight="1" x14ac:dyDescent="0.25">
      <c r="A102" s="41"/>
      <c r="N102" s="199" t="s">
        <v>127</v>
      </c>
      <c r="O102" s="43" t="s">
        <v>140</v>
      </c>
      <c r="W102" s="41"/>
      <c r="AG102" s="41"/>
      <c r="AQ102" s="41"/>
      <c r="BA102" s="41"/>
      <c r="BK102" s="41"/>
      <c r="BU102" s="41"/>
      <c r="CE102" s="41"/>
      <c r="CO102" s="41"/>
      <c r="CY102" s="41"/>
      <c r="DI102" s="41"/>
    </row>
    <row r="103" spans="1:113" s="43" customFormat="1" ht="15" customHeight="1" x14ac:dyDescent="0.25">
      <c r="A103" s="41"/>
      <c r="N103" s="199" t="s">
        <v>127</v>
      </c>
      <c r="O103" s="43" t="s">
        <v>141</v>
      </c>
      <c r="W103" s="41"/>
      <c r="AG103" s="41"/>
      <c r="AQ103" s="41"/>
      <c r="BA103" s="41"/>
      <c r="BK103" s="41"/>
      <c r="BU103" s="41"/>
      <c r="CE103" s="41"/>
      <c r="CO103" s="41"/>
      <c r="CY103" s="41"/>
      <c r="DI103" s="41"/>
    </row>
    <row r="104" spans="1:113" s="43" customFormat="1" ht="15.45"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142</v>
      </c>
      <c r="N105" s="201" t="s">
        <v>142</v>
      </c>
      <c r="W105" s="41"/>
      <c r="AG105" s="41"/>
      <c r="AQ105" s="41"/>
      <c r="BA105" s="41"/>
      <c r="BK105" s="41"/>
      <c r="BU105" s="41"/>
      <c r="CE105" s="41"/>
      <c r="CO105" s="41"/>
      <c r="CY105" s="41"/>
      <c r="DI105" s="41"/>
    </row>
    <row r="106" spans="1:113" s="43" customFormat="1" ht="15" customHeight="1" x14ac:dyDescent="0.25">
      <c r="A106" s="41"/>
      <c r="B106" s="200" t="s">
        <v>143</v>
      </c>
      <c r="C106" s="43" t="s">
        <v>144</v>
      </c>
      <c r="N106" s="202" t="s">
        <v>143</v>
      </c>
      <c r="O106" s="43" t="s">
        <v>144</v>
      </c>
      <c r="W106" s="41"/>
      <c r="AG106" s="41"/>
      <c r="AQ106" s="41"/>
      <c r="BA106" s="41"/>
      <c r="BK106" s="41"/>
      <c r="BU106" s="41"/>
      <c r="CE106" s="41"/>
      <c r="CO106" s="41"/>
      <c r="CY106" s="41"/>
      <c r="DI106" s="41"/>
    </row>
    <row r="107" spans="1:113" s="43" customFormat="1" ht="15" customHeight="1" x14ac:dyDescent="0.25">
      <c r="A107" s="41"/>
      <c r="N107" s="170" t="s">
        <v>145</v>
      </c>
      <c r="O107" s="43" t="s">
        <v>146</v>
      </c>
      <c r="W107" s="41"/>
      <c r="AG107" s="41"/>
      <c r="AQ107" s="41"/>
      <c r="BA107" s="41"/>
      <c r="BK107" s="41"/>
      <c r="BU107" s="41"/>
      <c r="CE107" s="41"/>
      <c r="CO107" s="41"/>
      <c r="CY107" s="41"/>
      <c r="DI107" s="41"/>
    </row>
    <row r="108" spans="1:113" s="43" customFormat="1" ht="15" customHeight="1" x14ac:dyDescent="0.25">
      <c r="A108" s="41"/>
      <c r="N108" s="203" t="s">
        <v>145</v>
      </c>
      <c r="O108" s="43" t="s">
        <v>147</v>
      </c>
      <c r="W108" s="41"/>
      <c r="AG108" s="41"/>
      <c r="AQ108" s="41"/>
      <c r="BA108" s="41"/>
      <c r="BK108" s="41"/>
      <c r="BU108" s="41"/>
      <c r="CE108" s="41"/>
      <c r="CO108" s="41"/>
      <c r="CY108" s="41"/>
      <c r="DI108" s="41"/>
    </row>
    <row r="109" spans="1:113" s="43" customFormat="1" ht="15" customHeight="1" x14ac:dyDescent="0.25">
      <c r="A109" s="41"/>
      <c r="N109" s="170" t="s">
        <v>148</v>
      </c>
      <c r="O109" s="43" t="s">
        <v>149</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55"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baseColWidth="10" defaultColWidth="9.109375" defaultRowHeight="14.4" x14ac:dyDescent="0.3"/>
  <cols>
    <col min="1" max="1" width="2.44140625" style="302" customWidth="1"/>
    <col min="2" max="2" width="3.77734375" style="302" customWidth="1"/>
    <col min="3" max="4" width="3.77734375" style="302" hidden="1" customWidth="1"/>
    <col min="5" max="5" width="6.77734375" style="303" hidden="1" customWidth="1"/>
    <col min="6" max="6" width="6.77734375" style="302" hidden="1" customWidth="1"/>
    <col min="7" max="7" width="21.77734375" style="302" customWidth="1"/>
    <col min="8" max="9" width="3.77734375" style="302" customWidth="1"/>
    <col min="10" max="10" width="21.77734375" style="302" customWidth="1"/>
    <col min="11" max="20" width="3.77734375" style="302" customWidth="1"/>
    <col min="21" max="21" width="3.77734375" style="304" customWidth="1"/>
    <col min="22" max="22" width="3.77734375" style="305" customWidth="1"/>
    <col min="23" max="24" width="3.77734375" style="302" customWidth="1"/>
    <col min="25" max="25" width="1.44140625" style="302" customWidth="1"/>
    <col min="26" max="28" width="3.77734375" style="302" customWidth="1"/>
    <col min="29" max="29" width="2.77734375" style="302" customWidth="1"/>
    <col min="30" max="31" width="3.77734375" style="302" customWidth="1"/>
    <col min="32" max="32" width="3" style="302" customWidth="1"/>
    <col min="33" max="97" width="9.109375" style="302" customWidth="1"/>
    <col min="98" max="16384" width="9.109375" style="302"/>
  </cols>
  <sheetData>
    <row r="1" spans="1:103" ht="14.55" customHeight="1" x14ac:dyDescent="0.3">
      <c r="A1" s="300"/>
      <c r="B1" s="301" t="s">
        <v>150</v>
      </c>
    </row>
    <row r="2" spans="1:103" ht="14.55" customHeight="1" x14ac:dyDescent="0.3"/>
    <row r="3" spans="1:103" ht="14.55" customHeight="1" x14ac:dyDescent="0.3">
      <c r="F3" s="306"/>
    </row>
    <row r="4" spans="1:103" s="300" customFormat="1" ht="14.55" customHeight="1" x14ac:dyDescent="0.3">
      <c r="L4" s="307"/>
      <c r="M4" s="307"/>
      <c r="AE4" s="302"/>
    </row>
    <row r="5" spans="1:103" s="300" customFormat="1" ht="14.55" customHeight="1" x14ac:dyDescent="0.3">
      <c r="E5" s="308"/>
      <c r="AC5" s="309"/>
      <c r="AE5" s="302"/>
    </row>
    <row r="6" spans="1:103" s="300" customFormat="1" ht="14.55" customHeight="1" x14ac:dyDescent="0.3">
      <c r="C6" s="307"/>
      <c r="D6" s="307"/>
      <c r="E6" s="310"/>
      <c r="F6" s="307"/>
      <c r="G6" s="311"/>
      <c r="J6" s="312"/>
      <c r="K6" s="307"/>
      <c r="L6" s="307"/>
      <c r="M6" s="307"/>
      <c r="T6" s="307" t="s">
        <v>151</v>
      </c>
      <c r="U6" s="307" t="s">
        <v>152</v>
      </c>
      <c r="V6" s="307" t="s">
        <v>104</v>
      </c>
      <c r="W6" s="307" t="s">
        <v>153</v>
      </c>
      <c r="X6" s="307" t="s">
        <v>106</v>
      </c>
      <c r="Y6" s="307"/>
      <c r="Z6" s="307" t="s">
        <v>101</v>
      </c>
      <c r="AA6" s="313" t="s">
        <v>154</v>
      </c>
      <c r="AB6" s="307" t="s">
        <v>155</v>
      </c>
      <c r="AE6" s="302"/>
      <c r="AH6" s="314" t="str">
        <f>Matches!G8</f>
        <v>Germany</v>
      </c>
      <c r="CY6" s="302"/>
    </row>
    <row r="7" spans="1:103" s="300" customFormat="1" ht="14.55"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156</v>
      </c>
      <c r="Z7" s="307">
        <f>VLOOKUP(P7,'Dummy Table'!B4:G40,6,FALSE)</f>
        <v>1</v>
      </c>
      <c r="AA7" s="307">
        <f>X7-Z7</f>
        <v>6</v>
      </c>
      <c r="AB7" s="307">
        <f>U7*3+V7*1</f>
        <v>6</v>
      </c>
      <c r="AE7" s="302"/>
      <c r="AH7" s="314" t="str">
        <f>Matches!J8</f>
        <v>Scotland</v>
      </c>
      <c r="CY7" s="302"/>
    </row>
    <row r="8" spans="1:103" s="300" customFormat="1" ht="14.55" customHeight="1" x14ac:dyDescent="0.3">
      <c r="B8" s="300">
        <v>1</v>
      </c>
      <c r="C8" s="307">
        <v>1</v>
      </c>
      <c r="D8" s="307" t="s">
        <v>101</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156</v>
      </c>
      <c r="Z8" s="307">
        <f>VLOOKUP(P8,'Dummy Table'!B4:G40,6,FALSE)</f>
        <v>2</v>
      </c>
      <c r="AA8" s="307">
        <f t="shared" ref="AA8:AA10" si="1">X8-Z8</f>
        <v>2</v>
      </c>
      <c r="AB8" s="307">
        <f>U8*3+V8*1</f>
        <v>4</v>
      </c>
      <c r="AE8" s="302"/>
      <c r="AH8" s="314" t="str">
        <f>Matches!G9</f>
        <v>Hungary</v>
      </c>
      <c r="CY8" s="302"/>
    </row>
    <row r="9" spans="1:103" s="300" customFormat="1" ht="14.55" customHeight="1" x14ac:dyDescent="0.3">
      <c r="B9" s="300">
        <v>2</v>
      </c>
      <c r="C9" s="307">
        <v>2</v>
      </c>
      <c r="D9" s="307" t="s">
        <v>101</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156</v>
      </c>
      <c r="Z9" s="307">
        <f>VLOOKUP(P9,'Dummy Table'!B4:G40,6,FALSE)</f>
        <v>6</v>
      </c>
      <c r="AA9" s="307">
        <f t="shared" si="1"/>
        <v>-4</v>
      </c>
      <c r="AB9" s="307">
        <f>U9*3+V9*1</f>
        <v>1</v>
      </c>
      <c r="AE9" s="302"/>
      <c r="AH9" s="314" t="str">
        <f>Matches!J9</f>
        <v>Switzerland</v>
      </c>
      <c r="CY9" s="302"/>
    </row>
    <row r="10" spans="1:103" s="300" customFormat="1" ht="14.55" customHeight="1" x14ac:dyDescent="0.3">
      <c r="B10" s="300">
        <v>3</v>
      </c>
      <c r="C10" s="307">
        <v>3</v>
      </c>
      <c r="D10" s="307" t="s">
        <v>102</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156</v>
      </c>
      <c r="Z10" s="307">
        <f>VLOOKUP(P10,'Dummy Table'!B4:G40,6,FALSE)</f>
        <v>5</v>
      </c>
      <c r="AA10" s="307">
        <f t="shared" si="1"/>
        <v>-4</v>
      </c>
      <c r="AB10" s="307">
        <f>U10*3+V10*1</f>
        <v>0</v>
      </c>
      <c r="AE10" s="302"/>
      <c r="AH10" s="314" t="str">
        <f>Matches!G11</f>
        <v>Italy</v>
      </c>
      <c r="CY10" s="302"/>
    </row>
    <row r="11" spans="1:103" s="300" customFormat="1" ht="14.55" customHeight="1" x14ac:dyDescent="0.3">
      <c r="B11" s="300">
        <v>4</v>
      </c>
      <c r="C11" s="307">
        <v>4</v>
      </c>
      <c r="D11" s="307" t="s">
        <v>102</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151</v>
      </c>
      <c r="U11" s="307" t="s">
        <v>152</v>
      </c>
      <c r="V11" s="307" t="s">
        <v>104</v>
      </c>
      <c r="W11" s="307" t="s">
        <v>153</v>
      </c>
      <c r="X11" s="307" t="s">
        <v>106</v>
      </c>
      <c r="Y11" s="307"/>
      <c r="Z11" s="307" t="s">
        <v>101</v>
      </c>
      <c r="AA11" s="307" t="s">
        <v>154</v>
      </c>
      <c r="AB11" s="307" t="s">
        <v>155</v>
      </c>
      <c r="AE11" s="302"/>
      <c r="AH11" s="314" t="str">
        <f>Matches!J11</f>
        <v>Albania</v>
      </c>
      <c r="CY11" s="302"/>
    </row>
    <row r="12" spans="1:103" s="300" customFormat="1" ht="14.55" customHeight="1" x14ac:dyDescent="0.3">
      <c r="B12" s="300">
        <v>5</v>
      </c>
      <c r="C12" s="307">
        <v>5</v>
      </c>
      <c r="D12" s="307" t="s">
        <v>104</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156</v>
      </c>
      <c r="Z12" s="307">
        <f>VLOOKUP(P12,'Dummy Table'!B4:G40,6,FALSE)</f>
        <v>0</v>
      </c>
      <c r="AA12" s="307">
        <f>X12-Z12</f>
        <v>4</v>
      </c>
      <c r="AB12" s="307">
        <f>U12*3+V12*1</f>
        <v>6</v>
      </c>
      <c r="AE12" s="302"/>
      <c r="AH12" s="314" t="str">
        <f>Matches!G10</f>
        <v>Spain</v>
      </c>
      <c r="CY12" s="302"/>
    </row>
    <row r="13" spans="1:103" s="300" customFormat="1" ht="14.55" customHeight="1" x14ac:dyDescent="0.3">
      <c r="B13" s="300">
        <v>6</v>
      </c>
      <c r="C13" s="307">
        <v>6</v>
      </c>
      <c r="D13" s="307" t="s">
        <v>103</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156</v>
      </c>
      <c r="Z13" s="307">
        <f>VLOOKUP(P13,'Dummy Table'!B4:G40,6,FALSE)</f>
        <v>2</v>
      </c>
      <c r="AA13" s="307">
        <f t="shared" ref="AA13:AA15" si="4">X13-Z13</f>
        <v>0</v>
      </c>
      <c r="AB13" s="307">
        <f>U13*3+V13*1</f>
        <v>3</v>
      </c>
      <c r="AE13" s="302"/>
      <c r="AH13" s="314" t="str">
        <f>Matches!J10</f>
        <v>Croatia</v>
      </c>
      <c r="CY13" s="302"/>
    </row>
    <row r="14" spans="1:103" s="300" customFormat="1" ht="14.55" customHeight="1" x14ac:dyDescent="0.3">
      <c r="B14" s="300">
        <v>7</v>
      </c>
      <c r="C14" s="307">
        <v>7</v>
      </c>
      <c r="D14" s="307" t="s">
        <v>103</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156</v>
      </c>
      <c r="Z14" s="307">
        <f>VLOOKUP(P14,'Dummy Table'!B4:G40,6,FALSE)</f>
        <v>4</v>
      </c>
      <c r="AA14" s="307">
        <f t="shared" si="4"/>
        <v>-1</v>
      </c>
      <c r="AB14" s="307">
        <f>U14*3+V14*1</f>
        <v>1</v>
      </c>
      <c r="AE14" s="302"/>
      <c r="AH14" s="314" t="str">
        <f>Matches!G14</f>
        <v>Poland</v>
      </c>
      <c r="CY14" s="302"/>
    </row>
    <row r="15" spans="1:103" s="300" customFormat="1" ht="14.55" customHeight="1" x14ac:dyDescent="0.3">
      <c r="B15" s="300">
        <v>8</v>
      </c>
      <c r="C15" s="307">
        <v>8</v>
      </c>
      <c r="D15" s="307" t="s">
        <v>104</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156</v>
      </c>
      <c r="Z15" s="307">
        <f>VLOOKUP(P15,'Dummy Table'!B4:G40,6,FALSE)</f>
        <v>5</v>
      </c>
      <c r="AA15" s="307">
        <f t="shared" si="4"/>
        <v>-3</v>
      </c>
      <c r="AB15" s="307">
        <f>U15*3+V15*1</f>
        <v>1</v>
      </c>
      <c r="AE15" s="302"/>
      <c r="AH15" s="314" t="str">
        <f>Matches!J14</f>
        <v>Netherlands</v>
      </c>
      <c r="CY15" s="302"/>
    </row>
    <row r="16" spans="1:103" s="300" customFormat="1" ht="14.55" customHeight="1" x14ac:dyDescent="0.3">
      <c r="B16" s="300">
        <v>9</v>
      </c>
      <c r="C16" s="307">
        <v>9</v>
      </c>
      <c r="D16" s="307" t="s">
        <v>105</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151</v>
      </c>
      <c r="U16" s="307" t="s">
        <v>152</v>
      </c>
      <c r="V16" s="307" t="s">
        <v>104</v>
      </c>
      <c r="W16" s="307" t="s">
        <v>153</v>
      </c>
      <c r="X16" s="307" t="s">
        <v>106</v>
      </c>
      <c r="Y16" s="307"/>
      <c r="Z16" s="307" t="s">
        <v>101</v>
      </c>
      <c r="AA16" s="307" t="s">
        <v>154</v>
      </c>
      <c r="AB16" s="307" t="s">
        <v>155</v>
      </c>
      <c r="AE16" s="302"/>
      <c r="AH16" s="314" t="str">
        <f>Matches!G13</f>
        <v>Slovenia</v>
      </c>
      <c r="CY16" s="302"/>
    </row>
    <row r="17" spans="2:103" s="300" customFormat="1" ht="14.55" customHeight="1" x14ac:dyDescent="0.3">
      <c r="B17" s="300">
        <v>10</v>
      </c>
      <c r="C17" s="307">
        <v>10</v>
      </c>
      <c r="D17" s="307" t="s">
        <v>105</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156</v>
      </c>
      <c r="Z17" s="307">
        <f>VLOOKUP(P17,'Dummy Table'!B4:G40,6,FALSE)</f>
        <v>1</v>
      </c>
      <c r="AA17" s="307">
        <f>X17-Z17</f>
        <v>1</v>
      </c>
      <c r="AB17" s="307">
        <f>U17*3+V17*1</f>
        <v>4</v>
      </c>
      <c r="AE17" s="302"/>
      <c r="AH17" s="314" t="str">
        <f>Matches!J13</f>
        <v>Denmark</v>
      </c>
      <c r="CY17" s="302"/>
    </row>
    <row r="18" spans="2:103" s="300" customFormat="1" ht="14.55" customHeight="1" x14ac:dyDescent="0.3">
      <c r="B18" s="300">
        <v>11</v>
      </c>
      <c r="C18" s="307">
        <v>11</v>
      </c>
      <c r="D18" s="307" t="s">
        <v>106</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156</v>
      </c>
      <c r="Z18" s="307">
        <f>VLOOKUP(P18,'Dummy Table'!B4:G40,6,FALSE)</f>
        <v>2</v>
      </c>
      <c r="AA18" s="307">
        <f t="shared" ref="AA18:AA20" si="6">X18-Z18</f>
        <v>0</v>
      </c>
      <c r="AB18" s="307">
        <f>U18*3+V18*1</f>
        <v>2</v>
      </c>
      <c r="AE18" s="302"/>
      <c r="AH18" s="314" t="str">
        <f>Matches!G15</f>
        <v>Austria</v>
      </c>
      <c r="CY18" s="302"/>
    </row>
    <row r="19" spans="2:103" s="300" customFormat="1" ht="14.55" customHeight="1" x14ac:dyDescent="0.3">
      <c r="B19" s="300">
        <v>12</v>
      </c>
      <c r="C19" s="307">
        <v>12</v>
      </c>
      <c r="D19" s="307" t="s">
        <v>106</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156</v>
      </c>
      <c r="Z19" s="307">
        <f>VLOOKUP(P19,'Dummy Table'!B4:G40,6,FALSE)</f>
        <v>2</v>
      </c>
      <c r="AA19" s="307">
        <f t="shared" si="6"/>
        <v>0</v>
      </c>
      <c r="AB19" s="307">
        <f>U19*3+V19*1</f>
        <v>2</v>
      </c>
      <c r="AE19" s="302"/>
      <c r="AH19" s="314" t="str">
        <f>Matches!J15</f>
        <v>France</v>
      </c>
      <c r="CY19" s="302"/>
    </row>
    <row r="20" spans="2:103" s="300" customFormat="1" ht="14.55" customHeight="1" x14ac:dyDescent="0.3">
      <c r="B20" s="300">
        <v>13</v>
      </c>
      <c r="C20" s="307">
        <v>13</v>
      </c>
      <c r="D20" s="307" t="s">
        <v>102</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156</v>
      </c>
      <c r="Z20" s="307">
        <f>VLOOKUP(P20,'Dummy Table'!B4:G40,6,FALSE)</f>
        <v>2</v>
      </c>
      <c r="AA20" s="307">
        <f t="shared" si="6"/>
        <v>-1</v>
      </c>
      <c r="AB20" s="307">
        <f>U20*3+V20*1</f>
        <v>1</v>
      </c>
      <c r="AE20" s="302"/>
      <c r="AH20" s="314" t="str">
        <f>Matches!G12</f>
        <v>Serbia</v>
      </c>
      <c r="CY20" s="302"/>
    </row>
    <row r="21" spans="2:103" s="300" customFormat="1" ht="14.55" customHeight="1" x14ac:dyDescent="0.3">
      <c r="B21" s="300">
        <v>14</v>
      </c>
      <c r="C21" s="307">
        <v>14</v>
      </c>
      <c r="D21" s="307" t="s">
        <v>101</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151</v>
      </c>
      <c r="U21" s="307" t="s">
        <v>152</v>
      </c>
      <c r="V21" s="307" t="s">
        <v>104</v>
      </c>
      <c r="W21" s="307" t="s">
        <v>153</v>
      </c>
      <c r="X21" s="307" t="s">
        <v>106</v>
      </c>
      <c r="Y21" s="307"/>
      <c r="Z21" s="307" t="s">
        <v>101</v>
      </c>
      <c r="AA21" s="307" t="s">
        <v>154</v>
      </c>
      <c r="AB21" s="307" t="s">
        <v>155</v>
      </c>
      <c r="AE21" s="302"/>
      <c r="AH21" s="314" t="str">
        <f>Matches!J12</f>
        <v>England</v>
      </c>
      <c r="CY21" s="302"/>
    </row>
    <row r="22" spans="2:103" s="300" customFormat="1" ht="14.55" customHeight="1" x14ac:dyDescent="0.3">
      <c r="B22" s="300">
        <v>15</v>
      </c>
      <c r="C22" s="307">
        <v>15</v>
      </c>
      <c r="D22" s="307" t="s">
        <v>101</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France</v>
      </c>
      <c r="T22" s="307">
        <f>SUM(U22:W22)</f>
        <v>1</v>
      </c>
      <c r="U22" s="307">
        <f>VLOOKUP(P22,'Dummy Table'!B4:C40,2,FALSE)</f>
        <v>1</v>
      </c>
      <c r="V22" s="307">
        <f>VLOOKUP(P22,'Dummy Table'!B4:D40,3,FALSE)</f>
        <v>0</v>
      </c>
      <c r="W22" s="307">
        <f>VLOOKUP(P22,'Dummy Table'!B4:E40,4,FALSE)</f>
        <v>0</v>
      </c>
      <c r="X22" s="307">
        <f>VLOOKUP(P22,'Dummy Table'!B4:F40,5,FALSE)</f>
        <v>1</v>
      </c>
      <c r="Y22" s="307" t="s">
        <v>156</v>
      </c>
      <c r="Z22" s="307">
        <f>VLOOKUP(P22,'Dummy Table'!B4:G40,6,FALSE)</f>
        <v>0</v>
      </c>
      <c r="AA22" s="307">
        <f>X22-Z22</f>
        <v>1</v>
      </c>
      <c r="AB22" s="307">
        <f>U22*3+V22*1</f>
        <v>3</v>
      </c>
      <c r="AE22" s="302"/>
      <c r="AH22" s="314" t="str">
        <f>Matches!G17</f>
        <v>Romania</v>
      </c>
      <c r="CY22" s="302"/>
    </row>
    <row r="23" spans="2:103" s="300" customFormat="1" ht="14.55" customHeight="1" x14ac:dyDescent="0.3">
      <c r="B23" s="300">
        <v>16</v>
      </c>
      <c r="C23" s="307">
        <v>16</v>
      </c>
      <c r="D23" s="307" t="s">
        <v>103</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Netherlands</v>
      </c>
      <c r="T23" s="307">
        <f t="shared" ref="T23:T25" si="7">SUM(U23:W23)</f>
        <v>1</v>
      </c>
      <c r="U23" s="307">
        <f>VLOOKUP(P23,'Dummy Table'!B4:C40,2,FALSE)</f>
        <v>1</v>
      </c>
      <c r="V23" s="307">
        <f>VLOOKUP(P23,'Dummy Table'!B4:D40,3,FALSE)</f>
        <v>0</v>
      </c>
      <c r="W23" s="307">
        <f>VLOOKUP(P23,'Dummy Table'!B4:E40,4,FALSE)</f>
        <v>0</v>
      </c>
      <c r="X23" s="307">
        <f>VLOOKUP(P23,'Dummy Table'!B4:F40,5,FALSE)</f>
        <v>2</v>
      </c>
      <c r="Y23" s="307" t="s">
        <v>156</v>
      </c>
      <c r="Z23" s="307">
        <f>VLOOKUP(P23,'Dummy Table'!B4:G40,6,FALSE)</f>
        <v>1</v>
      </c>
      <c r="AA23" s="307">
        <f t="shared" ref="AA23:AA25" si="8">X23-Z23</f>
        <v>1</v>
      </c>
      <c r="AB23" s="307">
        <f>U23*3+V23*1</f>
        <v>3</v>
      </c>
      <c r="AE23" s="302"/>
      <c r="AH23" s="314" t="str">
        <f>Matches!J17</f>
        <v>Ukraine</v>
      </c>
      <c r="CY23" s="302"/>
    </row>
    <row r="24" spans="2:103" s="300" customFormat="1" ht="14.55" customHeight="1" x14ac:dyDescent="0.3">
      <c r="B24" s="300">
        <v>17</v>
      </c>
      <c r="C24" s="307">
        <v>17</v>
      </c>
      <c r="D24" s="307" t="s">
        <v>102</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Austria</v>
      </c>
      <c r="T24" s="307">
        <f t="shared" si="7"/>
        <v>2</v>
      </c>
      <c r="U24" s="307">
        <f>VLOOKUP(P24,'Dummy Table'!B4:C40,2,FALSE)</f>
        <v>1</v>
      </c>
      <c r="V24" s="307">
        <f>VLOOKUP(P24,'Dummy Table'!B4:D40,3,FALSE)</f>
        <v>0</v>
      </c>
      <c r="W24" s="307">
        <f>VLOOKUP(P24,'Dummy Table'!B4:E40,4,FALSE)</f>
        <v>1</v>
      </c>
      <c r="X24" s="307">
        <f>VLOOKUP(P24,'Dummy Table'!B4:F40,5,FALSE)</f>
        <v>3</v>
      </c>
      <c r="Y24" s="307" t="s">
        <v>156</v>
      </c>
      <c r="Z24" s="307">
        <f>VLOOKUP(P24,'Dummy Table'!B4:G40,6,FALSE)</f>
        <v>2</v>
      </c>
      <c r="AA24" s="307">
        <f t="shared" si="8"/>
        <v>1</v>
      </c>
      <c r="AB24" s="307">
        <f>U24*3+V24*1</f>
        <v>3</v>
      </c>
      <c r="AE24" s="302"/>
      <c r="AH24" s="314" t="str">
        <f>Matches!G16</f>
        <v>Belgium</v>
      </c>
      <c r="CY24" s="302"/>
    </row>
    <row r="25" spans="2:103" s="300" customFormat="1" ht="14.55" customHeight="1" x14ac:dyDescent="0.3">
      <c r="B25" s="300">
        <v>18</v>
      </c>
      <c r="C25" s="307">
        <v>18</v>
      </c>
      <c r="D25" s="307" t="s">
        <v>103</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2</v>
      </c>
      <c r="U25" s="307">
        <f>VLOOKUP(P25,'Dummy Table'!B4:C40,2,FALSE)</f>
        <v>0</v>
      </c>
      <c r="V25" s="307">
        <f>VLOOKUP(P25,'Dummy Table'!B4:D40,3,FALSE)</f>
        <v>0</v>
      </c>
      <c r="W25" s="307">
        <f>VLOOKUP(P25,'Dummy Table'!B4:E40,4,FALSE)</f>
        <v>2</v>
      </c>
      <c r="X25" s="307">
        <f>VLOOKUP(P25,'Dummy Table'!B4:F40,5,FALSE)</f>
        <v>2</v>
      </c>
      <c r="Y25" s="307" t="s">
        <v>156</v>
      </c>
      <c r="Z25" s="307">
        <f>VLOOKUP(P25,'Dummy Table'!B4:G40,6,FALSE)</f>
        <v>5</v>
      </c>
      <c r="AA25" s="307">
        <f t="shared" si="8"/>
        <v>-3</v>
      </c>
      <c r="AB25" s="307">
        <f>U25*3+V25*1</f>
        <v>0</v>
      </c>
      <c r="AE25" s="302"/>
      <c r="AH25" s="314" t="str">
        <f>Matches!J16</f>
        <v>Slovakia</v>
      </c>
      <c r="CY25" s="302"/>
    </row>
    <row r="26" spans="2:103" s="300" customFormat="1" ht="14.55" customHeight="1" x14ac:dyDescent="0.3">
      <c r="B26" s="300">
        <v>19</v>
      </c>
      <c r="C26" s="307">
        <v>19</v>
      </c>
      <c r="D26" s="307" t="s">
        <v>105</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151</v>
      </c>
      <c r="U26" s="307" t="s">
        <v>152</v>
      </c>
      <c r="V26" s="307" t="s">
        <v>104</v>
      </c>
      <c r="W26" s="307" t="s">
        <v>153</v>
      </c>
      <c r="X26" s="307" t="s">
        <v>106</v>
      </c>
      <c r="Y26" s="307"/>
      <c r="Z26" s="307" t="s">
        <v>101</v>
      </c>
      <c r="AA26" s="307" t="s">
        <v>154</v>
      </c>
      <c r="AB26" s="307" t="s">
        <v>155</v>
      </c>
      <c r="AE26" s="302"/>
      <c r="AH26" s="314" t="str">
        <f>Matches!G19</f>
        <v>Portugal</v>
      </c>
      <c r="CY26" s="302"/>
    </row>
    <row r="27" spans="2:103" s="300" customFormat="1" ht="14.55" customHeight="1" x14ac:dyDescent="0.3">
      <c r="B27" s="300">
        <v>20</v>
      </c>
      <c r="C27" s="307">
        <v>20</v>
      </c>
      <c r="D27" s="307" t="s">
        <v>104</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156</v>
      </c>
      <c r="Z27" s="307">
        <f>VLOOKUP(P27,'Dummy Table'!B4:G40,6,FALSE)</f>
        <v>0</v>
      </c>
      <c r="AA27" s="307">
        <f>X27-Z27</f>
        <v>3</v>
      </c>
      <c r="AB27" s="307">
        <f>U27*3+V27*1</f>
        <v>3</v>
      </c>
      <c r="AE27" s="302"/>
      <c r="AH27" s="314" t="str">
        <f>Matches!J19</f>
        <v>Czechia</v>
      </c>
      <c r="CY27" s="302"/>
    </row>
    <row r="28" spans="2:103" s="300" customFormat="1" ht="14.55" customHeight="1" x14ac:dyDescent="0.3">
      <c r="B28" s="300">
        <v>21</v>
      </c>
      <c r="C28" s="307">
        <v>21</v>
      </c>
      <c r="D28" s="307" t="s">
        <v>104</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Ukraine</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156</v>
      </c>
      <c r="Z28" s="307">
        <f>VLOOKUP(P28,'Dummy Table'!B4:G40,6,FALSE)</f>
        <v>4</v>
      </c>
      <c r="AA28" s="307">
        <f t="shared" ref="AA28:AA30" si="10">X28-Z28</f>
        <v>-2</v>
      </c>
      <c r="AB28" s="307">
        <f>U28*3+V28*1</f>
        <v>3</v>
      </c>
      <c r="AE28" s="302"/>
      <c r="AH28" s="314" t="str">
        <f>Matches!G18</f>
        <v>Türkiye</v>
      </c>
      <c r="CY28" s="302"/>
    </row>
    <row r="29" spans="2:103" s="300" customFormat="1" ht="14.55" customHeight="1" x14ac:dyDescent="0.3">
      <c r="B29" s="300">
        <v>22</v>
      </c>
      <c r="C29" s="307">
        <v>22</v>
      </c>
      <c r="D29" s="307" t="s">
        <v>106</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156</v>
      </c>
      <c r="Z29" s="307">
        <f>VLOOKUP(P29,'Dummy Table'!B4:G40,6,FALSE)</f>
        <v>2</v>
      </c>
      <c r="AA29" s="307">
        <f t="shared" si="10"/>
        <v>0</v>
      </c>
      <c r="AB29" s="307">
        <f>U29*3+V29*1</f>
        <v>3</v>
      </c>
      <c r="AE29" s="302"/>
      <c r="AH29" s="314" t="str">
        <f>Matches!J18</f>
        <v>Georgia</v>
      </c>
      <c r="CY29" s="302"/>
    </row>
    <row r="30" spans="2:103" s="300" customFormat="1" ht="14.55" customHeight="1" x14ac:dyDescent="0.3">
      <c r="B30" s="300">
        <v>23</v>
      </c>
      <c r="C30" s="307">
        <v>23</v>
      </c>
      <c r="D30" s="307" t="s">
        <v>106</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Belgium</v>
      </c>
      <c r="T30" s="307">
        <f t="shared" si="9"/>
        <v>1</v>
      </c>
      <c r="U30" s="307">
        <f>VLOOKUP(P30,'Dummy Table'!B4:C40,2,FALSE)</f>
        <v>0</v>
      </c>
      <c r="V30" s="307">
        <f>VLOOKUP(P30,'Dummy Table'!B4:D40,3,FALSE)</f>
        <v>0</v>
      </c>
      <c r="W30" s="307">
        <f>VLOOKUP(P30,'Dummy Table'!B4:E40,4,FALSE)</f>
        <v>1</v>
      </c>
      <c r="X30" s="307">
        <f>VLOOKUP(P30,'Dummy Table'!B4:F40,5,FALSE)</f>
        <v>0</v>
      </c>
      <c r="Y30" s="307" t="s">
        <v>156</v>
      </c>
      <c r="Z30" s="307">
        <f>VLOOKUP(P30,'Dummy Table'!B4:G40,6,FALSE)</f>
        <v>1</v>
      </c>
      <c r="AA30" s="307">
        <f t="shared" si="10"/>
        <v>-1</v>
      </c>
      <c r="AB30" s="307">
        <f>U30*3+V30*1</f>
        <v>0</v>
      </c>
      <c r="AE30" s="302"/>
      <c r="CY30" s="302"/>
    </row>
    <row r="31" spans="2:103" s="300" customFormat="1" ht="14.55" customHeight="1" x14ac:dyDescent="0.3">
      <c r="B31" s="300">
        <v>24</v>
      </c>
      <c r="C31" s="307">
        <v>24</v>
      </c>
      <c r="D31" s="307" t="s">
        <v>105</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151</v>
      </c>
      <c r="U31" s="307" t="s">
        <v>152</v>
      </c>
      <c r="V31" s="307" t="s">
        <v>104</v>
      </c>
      <c r="W31" s="307" t="s">
        <v>153</v>
      </c>
      <c r="X31" s="307" t="s">
        <v>106</v>
      </c>
      <c r="Y31" s="307"/>
      <c r="Z31" s="307" t="s">
        <v>101</v>
      </c>
      <c r="AA31" s="307" t="s">
        <v>154</v>
      </c>
      <c r="AB31" s="307" t="s">
        <v>155</v>
      </c>
      <c r="AE31" s="302"/>
      <c r="CY31" s="302"/>
    </row>
    <row r="32" spans="2:103" s="300" customFormat="1" ht="14.55" customHeight="1" x14ac:dyDescent="0.3">
      <c r="B32" s="300">
        <v>25</v>
      </c>
      <c r="C32" s="307">
        <v>25</v>
      </c>
      <c r="D32" s="307" t="s">
        <v>101</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156</v>
      </c>
      <c r="Z32" s="307">
        <f>VLOOKUP(P32,'Dummy Table'!B4:G40,6,FALSE)</f>
        <v>1</v>
      </c>
      <c r="AA32" s="307">
        <f>X32-Z32</f>
        <v>2</v>
      </c>
      <c r="AB32" s="307">
        <f>U32*3+V32*1</f>
        <v>3</v>
      </c>
      <c r="AE32" s="302"/>
      <c r="CY32" s="302"/>
    </row>
    <row r="33" spans="2:103" s="300" customFormat="1" ht="14.55" customHeight="1" x14ac:dyDescent="0.3">
      <c r="B33" s="300">
        <v>26</v>
      </c>
      <c r="C33" s="307">
        <v>26</v>
      </c>
      <c r="D33" s="307" t="s">
        <v>101</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156</v>
      </c>
      <c r="Z33" s="307">
        <f>VLOOKUP(P33,'Dummy Table'!B4:G40,6,FALSE)</f>
        <v>1</v>
      </c>
      <c r="AA33" s="307">
        <f t="shared" ref="AA33:AA35" si="12">X33-Z33</f>
        <v>1</v>
      </c>
      <c r="AB33" s="307">
        <f>U33*3+V33*1</f>
        <v>3</v>
      </c>
      <c r="AE33" s="302"/>
      <c r="CY33" s="302"/>
    </row>
    <row r="34" spans="2:103" s="300" customFormat="1" ht="14.55" customHeight="1" x14ac:dyDescent="0.3">
      <c r="B34" s="300">
        <v>27</v>
      </c>
      <c r="C34" s="307">
        <v>27</v>
      </c>
      <c r="D34" s="307" t="s">
        <v>103</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156</v>
      </c>
      <c r="Z34" s="307">
        <f>VLOOKUP(P34,'Dummy Table'!B4:G40,6,FALSE)</f>
        <v>2</v>
      </c>
      <c r="AA34" s="307">
        <f t="shared" si="12"/>
        <v>-1</v>
      </c>
      <c r="AB34" s="307">
        <f>U34*3+V34*1</f>
        <v>0</v>
      </c>
      <c r="AE34" s="302"/>
      <c r="CY34" s="302"/>
    </row>
    <row r="35" spans="2:103" s="300" customFormat="1" ht="14.55" customHeight="1" x14ac:dyDescent="0.3">
      <c r="B35" s="300">
        <v>28</v>
      </c>
      <c r="C35" s="307">
        <v>28</v>
      </c>
      <c r="D35" s="307" t="s">
        <v>103</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156</v>
      </c>
      <c r="Z35" s="307">
        <f>VLOOKUP(P35,'Dummy Table'!B4:G40,6,FALSE)</f>
        <v>3</v>
      </c>
      <c r="AA35" s="307">
        <f t="shared" si="12"/>
        <v>-2</v>
      </c>
      <c r="AB35" s="307">
        <f>U35*3+V35*1</f>
        <v>0</v>
      </c>
      <c r="AE35" s="302"/>
      <c r="CY35" s="302"/>
    </row>
    <row r="36" spans="2:103" s="300" customFormat="1" ht="14.55" customHeight="1" x14ac:dyDescent="0.3">
      <c r="B36" s="300">
        <v>29</v>
      </c>
      <c r="C36" s="307">
        <v>29</v>
      </c>
      <c r="D36" s="307" t="s">
        <v>102</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55" customHeight="1" x14ac:dyDescent="0.3">
      <c r="B37" s="300">
        <v>30</v>
      </c>
      <c r="C37" s="307">
        <v>30</v>
      </c>
      <c r="D37" s="307" t="s">
        <v>102</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55" customHeight="1" x14ac:dyDescent="0.3">
      <c r="B38" s="300">
        <v>31</v>
      </c>
      <c r="C38" s="307">
        <v>31</v>
      </c>
      <c r="D38" s="307" t="s">
        <v>104</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151</v>
      </c>
      <c r="U38" s="307" t="s">
        <v>152</v>
      </c>
      <c r="V38" s="307" t="s">
        <v>104</v>
      </c>
      <c r="W38" s="307" t="s">
        <v>153</v>
      </c>
      <c r="X38" s="307" t="s">
        <v>106</v>
      </c>
      <c r="Y38" s="307"/>
      <c r="Z38" s="307" t="s">
        <v>101</v>
      </c>
      <c r="AA38" s="307" t="s">
        <v>154</v>
      </c>
      <c r="AB38" s="307" t="s">
        <v>155</v>
      </c>
      <c r="AC38" s="307" t="s">
        <v>157</v>
      </c>
      <c r="AE38" s="302"/>
      <c r="CY38" s="302"/>
    </row>
    <row r="39" spans="2:103" s="300" customFormat="1" ht="14.55" customHeight="1" x14ac:dyDescent="0.3">
      <c r="B39" s="300">
        <v>32</v>
      </c>
      <c r="C39" s="307">
        <v>32</v>
      </c>
      <c r="D39" s="307" t="s">
        <v>104</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Austria</v>
      </c>
      <c r="Q39" s="312"/>
      <c r="R39" s="312"/>
      <c r="S39" s="312"/>
      <c r="T39" s="307">
        <f>VLOOKUP(P39,P7:AB35,5,FALSE)</f>
        <v>2</v>
      </c>
      <c r="U39" s="307">
        <f>VLOOKUP(P39,P7:AB35,6,FALSE)</f>
        <v>1</v>
      </c>
      <c r="V39" s="307">
        <f>VLOOKUP(P39,P7:AB35,7,FALSE)</f>
        <v>0</v>
      </c>
      <c r="W39" s="307">
        <f>VLOOKUP(P39,P7:AB35,8,FALSE)</f>
        <v>1</v>
      </c>
      <c r="X39" s="307">
        <f>VLOOKUP(P39,P7:AB35,9,FALSE)</f>
        <v>3</v>
      </c>
      <c r="Y39" s="307" t="s">
        <v>156</v>
      </c>
      <c r="Z39" s="307">
        <f>VLOOKUP(P39,P7:AB35,11,FALSE)</f>
        <v>2</v>
      </c>
      <c r="AA39" s="307">
        <f>VLOOKUP(P39,P7:AB35,12,FALSE)</f>
        <v>1</v>
      </c>
      <c r="AB39" s="307">
        <f>VLOOKUP(P39,P7:AB35,13,FALSE)</f>
        <v>3</v>
      </c>
      <c r="AC39" s="307" t="str">
        <f>INDEX('Dummy Table'!DV3:DV8,MATCH(Matches!O39,'Dummy Table'!DU3:DU8,0),0)</f>
        <v>D</v>
      </c>
      <c r="AE39" s="302"/>
      <c r="CY39" s="302"/>
    </row>
    <row r="40" spans="2:103" s="300" customFormat="1" ht="14.55" customHeight="1" x14ac:dyDescent="0.3">
      <c r="B40" s="300">
        <v>33</v>
      </c>
      <c r="C40" s="307">
        <v>33</v>
      </c>
      <c r="D40" s="307" t="s">
        <v>105</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156</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55" customHeight="1" x14ac:dyDescent="0.3">
      <c r="B41" s="300">
        <v>34</v>
      </c>
      <c r="C41" s="307">
        <v>34</v>
      </c>
      <c r="D41" s="307" t="s">
        <v>105</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Slovenia</v>
      </c>
      <c r="Q41" s="312"/>
      <c r="R41" s="312"/>
      <c r="S41" s="312"/>
      <c r="T41" s="307">
        <f>VLOOKUP(P41,P7:AB35,5,FALSE)</f>
        <v>2</v>
      </c>
      <c r="U41" s="307">
        <f>VLOOKUP(P41,P7:AB35,6,FALSE)</f>
        <v>0</v>
      </c>
      <c r="V41" s="307">
        <f>VLOOKUP(P41,P7:AB35,7,FALSE)</f>
        <v>2</v>
      </c>
      <c r="W41" s="307">
        <f>VLOOKUP(P41,P7:AB35,8,FALSE)</f>
        <v>0</v>
      </c>
      <c r="X41" s="307">
        <f>VLOOKUP(P41,P7:AB35,9,FALSE)</f>
        <v>2</v>
      </c>
      <c r="Y41" s="307" t="s">
        <v>156</v>
      </c>
      <c r="Z41" s="307">
        <f>VLOOKUP(P41,P7:AB35,11,FALSE)</f>
        <v>2</v>
      </c>
      <c r="AA41" s="307">
        <f>VLOOKUP(P41,P7:AB35,12,FALSE)</f>
        <v>0</v>
      </c>
      <c r="AB41" s="307">
        <f>VLOOKUP(P41,P7:AB35,13,FALSE)</f>
        <v>2</v>
      </c>
      <c r="AC41" s="307" t="str">
        <f>INDEX('Dummy Table'!DV3:DV8,MATCH(Matches!O41,'Dummy Table'!DU3:DU8,0),0)</f>
        <v>C</v>
      </c>
      <c r="AE41" s="302"/>
      <c r="CY41" s="302"/>
    </row>
    <row r="42" spans="2:103" s="300" customFormat="1" ht="14.55" customHeight="1" x14ac:dyDescent="0.3">
      <c r="B42" s="300">
        <v>35</v>
      </c>
      <c r="C42" s="307">
        <v>35</v>
      </c>
      <c r="D42" s="307" t="s">
        <v>106</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Albania</v>
      </c>
      <c r="Q42" s="312"/>
      <c r="R42" s="312"/>
      <c r="S42" s="312"/>
      <c r="T42" s="307">
        <f>VLOOKUP(P42,P7:AB35,5,FALSE)</f>
        <v>2</v>
      </c>
      <c r="U42" s="307">
        <f>VLOOKUP(P42,P7:AB35,6,FALSE)</f>
        <v>0</v>
      </c>
      <c r="V42" s="307">
        <f>VLOOKUP(P42,P7:AB35,7,FALSE)</f>
        <v>1</v>
      </c>
      <c r="W42" s="307">
        <f>VLOOKUP(P42,P7:AB35,8,FALSE)</f>
        <v>1</v>
      </c>
      <c r="X42" s="307">
        <f>VLOOKUP(P42,P7:AB35,9,FALSE)</f>
        <v>3</v>
      </c>
      <c r="Y42" s="307" t="s">
        <v>156</v>
      </c>
      <c r="Z42" s="307">
        <f>VLOOKUP(P42,P7:AB35,11,FALSE)</f>
        <v>4</v>
      </c>
      <c r="AA42" s="307">
        <f>VLOOKUP(P42,P7:AB35,12,FALSE)</f>
        <v>-1</v>
      </c>
      <c r="AB42" s="307">
        <f>VLOOKUP(P42,P7:AB35,13,FALSE)</f>
        <v>1</v>
      </c>
      <c r="AC42" s="307" t="str">
        <f>INDEX('Dummy Table'!DV3:DV8,MATCH(Matches!O42,'Dummy Table'!DU3:DU8,0),0)</f>
        <v>B</v>
      </c>
      <c r="AE42" s="302"/>
      <c r="CY42" s="302"/>
    </row>
    <row r="43" spans="2:103" s="300" customFormat="1" ht="14.55" customHeight="1" x14ac:dyDescent="0.3">
      <c r="B43" s="300">
        <v>36</v>
      </c>
      <c r="C43" s="307">
        <v>36</v>
      </c>
      <c r="D43" s="307" t="s">
        <v>106</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Scotland</v>
      </c>
      <c r="Q43" s="312"/>
      <c r="R43" s="312"/>
      <c r="S43" s="312"/>
      <c r="T43" s="307">
        <f>VLOOKUP(P43,P7:AB35,5,FALSE)</f>
        <v>2</v>
      </c>
      <c r="U43" s="307">
        <f>VLOOKUP(P43,P7:AB35,6,FALSE)</f>
        <v>0</v>
      </c>
      <c r="V43" s="307">
        <f>VLOOKUP(P43,P7:AB35,7,FALSE)</f>
        <v>1</v>
      </c>
      <c r="W43" s="307">
        <f>VLOOKUP(P43,P7:AB35,8,FALSE)</f>
        <v>1</v>
      </c>
      <c r="X43" s="307">
        <f>VLOOKUP(P43,P7:AB35,9,FALSE)</f>
        <v>2</v>
      </c>
      <c r="Y43" s="307" t="s">
        <v>156</v>
      </c>
      <c r="Z43" s="307">
        <f>VLOOKUP(P43,P7:AB35,11,FALSE)</f>
        <v>6</v>
      </c>
      <c r="AA43" s="307">
        <f>VLOOKUP(P43,P7:AB35,12,FALSE)</f>
        <v>-4</v>
      </c>
      <c r="AB43" s="307">
        <f>VLOOKUP(P43,P7:AB35,13,FALSE)</f>
        <v>1</v>
      </c>
      <c r="AC43" s="307" t="str">
        <f>INDEX('Dummy Table'!DV3:DV8,MATCH(Matches!O43,'Dummy Table'!DU3:DU8,0),0)</f>
        <v>A</v>
      </c>
      <c r="AE43" s="302"/>
      <c r="CY43" s="302"/>
    </row>
    <row r="44" spans="2:103" s="300" customFormat="1" ht="14.55"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Czechia</v>
      </c>
      <c r="T44" s="307">
        <f>VLOOKUP(P44,P7:AB35,5,FALSE)</f>
        <v>1</v>
      </c>
      <c r="U44" s="307">
        <f>VLOOKUP(P44,P7:AB35,6,FALSE)</f>
        <v>0</v>
      </c>
      <c r="V44" s="307">
        <f>VLOOKUP(P44,P7:AB35,7,FALSE)</f>
        <v>0</v>
      </c>
      <c r="W44" s="307">
        <f>VLOOKUP(P44,P7:AB35,8,FALSE)</f>
        <v>1</v>
      </c>
      <c r="X44" s="307">
        <f>VLOOKUP(P44,P7:AB35,9,FALSE)</f>
        <v>1</v>
      </c>
      <c r="Y44" s="307" t="s">
        <v>156</v>
      </c>
      <c r="Z44" s="307">
        <f>VLOOKUP(P44,P7:AB35,11,FALSE)</f>
        <v>2</v>
      </c>
      <c r="AA44" s="307">
        <f>VLOOKUP(P44,P7:AB35,12,FALSE)</f>
        <v>-1</v>
      </c>
      <c r="AB44" s="307">
        <f>VLOOKUP(P44,P7:AB35,13,FALSE)</f>
        <v>0</v>
      </c>
      <c r="AC44" s="307" t="str">
        <f>INDEX('Dummy Table'!DV3:DV8,MATCH(Matches!O44,'Dummy Table'!DU3:DU8,0),0)</f>
        <v>F</v>
      </c>
      <c r="AE44" s="302"/>
      <c r="CY44" s="302"/>
    </row>
    <row r="45" spans="2:103" s="300" customFormat="1" ht="14.55"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55"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55"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55"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55"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55"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55"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55"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55"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55"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55"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55"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55"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55"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55"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baseColWidth="10" defaultColWidth="9.109375" defaultRowHeight="13.8" x14ac:dyDescent="0.3"/>
  <cols>
    <col min="1" max="1" width="1.44140625" style="133" customWidth="1"/>
    <col min="2" max="2" width="3.44140625" style="7" customWidth="1"/>
    <col min="3" max="3" width="23.44140625" style="7" customWidth="1"/>
    <col min="4" max="4" width="10.77734375" style="8" bestFit="1" customWidth="1"/>
    <col min="5" max="11" width="10.77734375" style="7" customWidth="1"/>
    <col min="12" max="12" width="9.109375" style="7" customWidth="1"/>
    <col min="13" max="13" width="17.77734375" style="7" customWidth="1"/>
    <col min="14" max="14" width="10.77734375" style="7" customWidth="1"/>
    <col min="15" max="65" width="9.109375" style="7" customWidth="1"/>
    <col min="66" max="66" width="2.44140625" style="7" customWidth="1"/>
    <col min="67" max="67" width="9.109375" style="7" customWidth="1"/>
    <col min="68" max="16384" width="9.109375" style="7"/>
  </cols>
  <sheetData>
    <row r="1" spans="1:65" s="25" customFormat="1" ht="4.95"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4.95" customHeight="1" x14ac:dyDescent="0.3">
      <c r="A2" s="133"/>
      <c r="D2" s="28"/>
    </row>
    <row r="3" spans="1:65" ht="30" customHeight="1" x14ac:dyDescent="0.3">
      <c r="B3" s="18" t="s">
        <v>158</v>
      </c>
      <c r="C3" s="16"/>
      <c r="D3" s="16"/>
      <c r="E3" s="16"/>
      <c r="F3" s="16"/>
      <c r="G3" s="16"/>
      <c r="H3" s="16"/>
      <c r="I3" s="16"/>
      <c r="J3" s="16"/>
      <c r="K3" s="16"/>
      <c r="L3" s="16"/>
      <c r="M3" s="16"/>
      <c r="N3" s="16"/>
    </row>
    <row r="4" spans="1:65" ht="4.95"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08" t="s">
        <v>159</v>
      </c>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8"/>
      <c r="AR5" s="408"/>
      <c r="AS5" s="408"/>
      <c r="AT5" s="408"/>
      <c r="AU5" s="408"/>
      <c r="AV5" s="408"/>
      <c r="AW5" s="408"/>
      <c r="AX5" s="408"/>
      <c r="AY5" s="404" t="s">
        <v>160</v>
      </c>
      <c r="AZ5" s="404"/>
      <c r="BA5" s="404"/>
      <c r="BB5" s="404"/>
      <c r="BC5" s="404"/>
      <c r="BD5" s="404"/>
      <c r="BE5" s="404"/>
      <c r="BF5" s="404"/>
      <c r="BG5" s="404" t="s">
        <v>161</v>
      </c>
      <c r="BH5" s="404"/>
      <c r="BI5" s="404"/>
      <c r="BJ5" s="404"/>
      <c r="BK5" s="404" t="s">
        <v>162</v>
      </c>
      <c r="BL5" s="404"/>
      <c r="BM5" s="120" t="s">
        <v>24</v>
      </c>
    </row>
    <row r="6" spans="1:65" ht="15" customHeight="1" x14ac:dyDescent="0.3">
      <c r="B6" s="403" t="s">
        <v>67</v>
      </c>
      <c r="C6" s="406" t="s">
        <v>68</v>
      </c>
      <c r="D6" s="402" t="s">
        <v>163</v>
      </c>
      <c r="E6" s="402" t="s">
        <v>164</v>
      </c>
      <c r="F6" s="402" t="s">
        <v>165</v>
      </c>
      <c r="G6" s="402" t="s">
        <v>69</v>
      </c>
      <c r="H6" s="402" t="s">
        <v>166</v>
      </c>
      <c r="I6" s="403" t="s">
        <v>167</v>
      </c>
      <c r="J6" s="403"/>
      <c r="K6" s="402" t="s">
        <v>168</v>
      </c>
      <c r="L6" s="403" t="s">
        <v>169</v>
      </c>
      <c r="M6" s="403"/>
      <c r="N6" s="403"/>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03"/>
      <c r="C7" s="406"/>
      <c r="D7" s="402"/>
      <c r="E7" s="402"/>
      <c r="F7" s="402"/>
      <c r="G7" s="402"/>
      <c r="H7" s="402"/>
      <c r="I7" s="402" t="s">
        <v>164</v>
      </c>
      <c r="J7" s="405" t="s">
        <v>166</v>
      </c>
      <c r="K7" s="402"/>
      <c r="L7" s="402" t="s">
        <v>164</v>
      </c>
      <c r="M7" s="402" t="s">
        <v>170</v>
      </c>
      <c r="N7" s="402" t="s">
        <v>166</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03"/>
      <c r="C8" s="406"/>
      <c r="D8" s="402"/>
      <c r="E8" s="402"/>
      <c r="F8" s="402"/>
      <c r="G8" s="402"/>
      <c r="H8" s="402"/>
      <c r="I8" s="402"/>
      <c r="J8" s="405"/>
      <c r="K8" s="402"/>
      <c r="L8" s="402"/>
      <c r="M8" s="402"/>
      <c r="N8" s="402"/>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03"/>
      <c r="C9" s="407"/>
      <c r="D9" s="402"/>
      <c r="E9" s="402"/>
      <c r="F9" s="402"/>
      <c r="G9" s="402"/>
      <c r="H9" s="402"/>
      <c r="I9" s="402"/>
      <c r="J9" s="405"/>
      <c r="K9" s="402"/>
      <c r="L9" s="402"/>
      <c r="M9" s="402"/>
      <c r="N9" s="402"/>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 xml:space="preserve"> - </v>
      </c>
      <c r="AI9" s="120" t="str">
        <f ca="1">LEFT(OFFSET(Matches!H8,AI6-1,0),3)&amp;" - "&amp;LEFT(OFFSET(Matches!I8,AI6-1,0),3)</f>
        <v>1 - 2</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Magnus (TRAC)</v>
      </c>
      <c r="D10" s="30">
        <f ca="1">IFERROR(E10+F10+G10,"")</f>
        <v>42</v>
      </c>
      <c r="E10" s="23">
        <f t="shared" ref="E10" ca="1" si="3">IFERROR(I10+L10,"")</f>
        <v>42</v>
      </c>
      <c r="F10" s="23">
        <f ca="1">IFERROR(K10+M10,"")</f>
        <v>0</v>
      </c>
      <c r="G10" s="23">
        <f>IF(C10&lt;&gt;"",IF('Player Setup'!D6&lt;&gt;"",'Player Setup'!D6,0),"")</f>
        <v>0</v>
      </c>
      <c r="H10" s="23">
        <f t="shared" ref="H10" ca="1" si="4">IFERROR(J10+N10,"")</f>
        <v>3</v>
      </c>
      <c r="I10" s="24">
        <f ca="1">SUM(O10:AX10)</f>
        <v>42</v>
      </c>
      <c r="J10" s="22">
        <f ca="1">IF(C10&lt;&gt;"",OFFSET('Player Game Board'!N9,O6-1,A10),0)</f>
        <v>3</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f ca="1">IF(C10&lt;&gt;"",OFFSET('Player Game Board'!V10,AG6-1,A10),"")</f>
        <v>2</v>
      </c>
      <c r="AH10" s="24" t="str">
        <f ca="1">IF(C10&lt;&gt;"",OFFSET('Player Game Board'!V10,AH6-1,A10),"")</f>
        <v/>
      </c>
      <c r="AI10" s="24">
        <f ca="1">IF(C10&lt;&gt;"",OFFSET('Player Game Board'!V10,AI6-1,A10),"")</f>
        <v>0</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Steve (TRAC)</v>
      </c>
      <c r="D11" s="30">
        <f t="shared" ref="D11:D19" ca="1" si="5">IFERROR(E11+F11+G11,"")</f>
        <v>26</v>
      </c>
      <c r="E11" s="23">
        <f t="shared" ref="E11:E19" ca="1" si="6">IFERROR(I11+L11,"")</f>
        <v>26</v>
      </c>
      <c r="F11" s="23">
        <f t="shared" ref="F11:F19" ca="1" si="7">IFERROR(K11+M11,"")</f>
        <v>0</v>
      </c>
      <c r="G11" s="23">
        <f>IF(C11&lt;&gt;"",IF('Player Setup'!D7&lt;&gt;"",'Player Setup'!D7,0),"")</f>
        <v>0</v>
      </c>
      <c r="H11" s="22">
        <f t="shared" ref="H11:H19" ca="1" si="8">IFERROR(J11+N11,"")</f>
        <v>3</v>
      </c>
      <c r="I11" s="23">
        <f t="shared" ref="I11:I19" ca="1" si="9">SUM(O11:AX11)</f>
        <v>26</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f ca="1">IF(C11&lt;&gt;"",OFFSET('Player Game Board'!V10,AG6-1,A11),"")</f>
        <v>0</v>
      </c>
      <c r="AH11" s="22" t="str">
        <f ca="1">IF(C11&lt;&gt;"",OFFSET('Player Game Board'!V10,AH6-1,A11),"")</f>
        <v/>
      </c>
      <c r="AI11" s="22">
        <f ca="1">IF(C11&lt;&gt;"",OFFSET('Player Game Board'!V10,AI6-1,A11),"")</f>
        <v>0</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Mateo (Virksomhet)</v>
      </c>
      <c r="D12" s="30">
        <f t="shared" ca="1" si="5"/>
        <v>34</v>
      </c>
      <c r="E12" s="23">
        <f t="shared" ca="1" si="6"/>
        <v>34</v>
      </c>
      <c r="F12" s="23">
        <f t="shared" ca="1" si="7"/>
        <v>0</v>
      </c>
      <c r="G12" s="23">
        <f>IF(C12&lt;&gt;"",IF('Player Setup'!D8&lt;&gt;"",'Player Setup'!D8,0),"")</f>
        <v>0</v>
      </c>
      <c r="H12" s="22">
        <f t="shared" ca="1" si="8"/>
        <v>1</v>
      </c>
      <c r="I12" s="23">
        <f t="shared" ca="1" si="9"/>
        <v>34</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0</v>
      </c>
      <c r="AH12" s="22" t="str">
        <f ca="1">IF(C12&lt;&gt;"",OFFSET('Player Game Board'!V10,AH6-1,A12),"")</f>
        <v/>
      </c>
      <c r="AI12" s="22">
        <f ca="1">IF(C12&lt;&gt;"",OFFSET('Player Game Board'!V10,AI6-1,A12),"")</f>
        <v>4</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Flemming (IFA)</v>
      </c>
      <c r="D13" s="30">
        <f t="shared" ca="1" si="5"/>
        <v>28</v>
      </c>
      <c r="E13" s="23">
        <f t="shared" ca="1" si="6"/>
        <v>28</v>
      </c>
      <c r="F13" s="23">
        <f t="shared" ca="1" si="7"/>
        <v>0</v>
      </c>
      <c r="G13" s="23">
        <f>IF(C13&lt;&gt;"",IF('Player Setup'!D9&lt;&gt;"",'Player Setup'!D9,0),"")</f>
        <v>0</v>
      </c>
      <c r="H13" s="22">
        <f t="shared" ca="1" si="8"/>
        <v>0</v>
      </c>
      <c r="I13" s="23">
        <f t="shared" ca="1" si="9"/>
        <v>28</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f ca="1">IF(C13&lt;&gt;"",OFFSET('Player Game Board'!V10,AG6-1,A13),"")</f>
        <v>0</v>
      </c>
      <c r="AH13" s="22" t="str">
        <f ca="1">IF(C13&lt;&gt;"",OFFSET('Player Game Board'!V10,AH6-1,A13),"")</f>
        <v/>
      </c>
      <c r="AI13" s="22">
        <f ca="1">IF(C13&lt;&gt;"",OFFSET('Player Game Board'!V10,AI6-1,A13),"")</f>
        <v>4</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Stian (Virksomhet)</v>
      </c>
      <c r="D14" s="30">
        <f t="shared" ca="1" si="5"/>
        <v>30</v>
      </c>
      <c r="E14" s="23">
        <f t="shared" ca="1" si="6"/>
        <v>30</v>
      </c>
      <c r="F14" s="23">
        <f t="shared" ca="1" si="7"/>
        <v>0</v>
      </c>
      <c r="G14" s="23">
        <f>IF(C14&lt;&gt;"",IF('Player Setup'!D10&lt;&gt;"",'Player Setup'!D10,0),"")</f>
        <v>0</v>
      </c>
      <c r="H14" s="22">
        <f t="shared" ca="1" si="8"/>
        <v>2</v>
      </c>
      <c r="I14" s="23">
        <f t="shared" ca="1" si="9"/>
        <v>30</v>
      </c>
      <c r="J14" s="22">
        <f ca="1">IF(C14&lt;&gt;"",OFFSET('Player Game Board'!N9,O6-1,A14),0)</f>
        <v>2</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f ca="1">IF(C14&lt;&gt;"",OFFSET('Player Game Board'!V10,AG6-1,A14),"")</f>
        <v>2</v>
      </c>
      <c r="AH14" s="22" t="str">
        <f ca="1">IF(C14&lt;&gt;"",OFFSET('Player Game Board'!V10,AH6-1,A14),"")</f>
        <v/>
      </c>
      <c r="AI14" s="22">
        <f ca="1">IF(C14&lt;&gt;"",OFFSET('Player Game Board'!V10,AI6-1,A14),"")</f>
        <v>6</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Hanne Maren (TRAC)</v>
      </c>
      <c r="D15" s="30">
        <f t="shared" ca="1" si="5"/>
        <v>38</v>
      </c>
      <c r="E15" s="23">
        <f t="shared" ca="1" si="6"/>
        <v>38</v>
      </c>
      <c r="F15" s="23">
        <f t="shared" ca="1" si="7"/>
        <v>0</v>
      </c>
      <c r="G15" s="23">
        <f>IF(C15&lt;&gt;"",IF('Player Setup'!D11&lt;&gt;"",'Player Setup'!D11,0),"")</f>
        <v>0</v>
      </c>
      <c r="H15" s="22">
        <f t="shared" ca="1" si="8"/>
        <v>3</v>
      </c>
      <c r="I15" s="23">
        <f t="shared" ca="1" si="9"/>
        <v>38</v>
      </c>
      <c r="J15" s="22">
        <f ca="1">IF(C15&lt;&gt;"",OFFSET('Player Game Board'!N9,O6-1,A15),0)</f>
        <v>3</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f ca="1">IF(C15&lt;&gt;"",OFFSET('Player Game Board'!V10,AG6-1,A15),"")</f>
        <v>0</v>
      </c>
      <c r="AH15" s="22" t="str">
        <f ca="1">IF(C15&lt;&gt;"",OFFSET('Player Game Board'!V10,AH6-1,A15),"")</f>
        <v/>
      </c>
      <c r="AI15" s="22">
        <f ca="1">IF(C15&lt;&gt;"",OFFSET('Player Game Board'!V10,AI6-1,A15),"")</f>
        <v>2</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Kjell Tore (Too Little Too Late)</v>
      </c>
      <c r="D16" s="30">
        <f t="shared" ca="1" si="5"/>
        <v>32</v>
      </c>
      <c r="E16" s="23">
        <f t="shared" ca="1" si="6"/>
        <v>32</v>
      </c>
      <c r="F16" s="23">
        <f t="shared" ca="1" si="7"/>
        <v>0</v>
      </c>
      <c r="G16" s="23">
        <f>IF(C16&lt;&gt;"",IF('Player Setup'!D12&lt;&gt;"",'Player Setup'!D12,0),"")</f>
        <v>0</v>
      </c>
      <c r="H16" s="22">
        <f t="shared" ca="1" si="8"/>
        <v>2</v>
      </c>
      <c r="I16" s="23">
        <f t="shared" ca="1" si="9"/>
        <v>32</v>
      </c>
      <c r="J16" s="22">
        <f ca="1">IF(C16&lt;&gt;"",OFFSET('Player Game Board'!N9,O6-1,A16),0)</f>
        <v>2</v>
      </c>
      <c r="K16" s="23">
        <f ca="1">IF(C16&lt;&gt;"",OFFSET('Player Game Board'!N50,O6-1,A16),0)</f>
        <v>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f ca="1">IF(C16&lt;&gt;"",OFFSET('Player Game Board'!V10,AG6-1,A16),"")</f>
        <v>0</v>
      </c>
      <c r="AH16" s="22" t="str">
        <f ca="1">IF(C16&lt;&gt;"",OFFSET('Player Game Board'!V10,AH6-1,A16),"")</f>
        <v/>
      </c>
      <c r="AI16" s="22">
        <f ca="1">IF(C16&lt;&gt;"",OFFSET('Player Game Board'!V10,AI6-1,A16),"")</f>
        <v>2</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
      </c>
      <c r="D17" s="30" t="str">
        <f t="shared" ca="1" si="5"/>
        <v/>
      </c>
      <c r="E17" s="23">
        <f t="shared" ca="1" si="6"/>
        <v>0</v>
      </c>
      <c r="F17" s="23">
        <f t="shared" ca="1" si="7"/>
        <v>0</v>
      </c>
      <c r="G17" s="23" t="str">
        <f>IF(C17&lt;&gt;"",IF('Player Setup'!D13&lt;&gt;"",'Player Setup'!D13,0),"")</f>
        <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t="str">
        <f ca="1">IF(C17&lt;&gt;"",OFFSET('Player Game Board'!V10,AY6+14,A17),"")</f>
        <v/>
      </c>
      <c r="AZ17" s="22" t="str">
        <f ca="1">IF(C17&lt;&gt;"",OFFSET('Player Game Board'!V10,AZ6+14,A17),"")</f>
        <v/>
      </c>
      <c r="BA17" s="22" t="str">
        <f ca="1">IF(C17&lt;&gt;"",OFFSET('Player Game Board'!V10,BA6+14,A17),"")</f>
        <v/>
      </c>
      <c r="BB17" s="22" t="str">
        <f ca="1">IF(C17&lt;&gt;"",OFFSET('Player Game Board'!V10,BB6+14,A17),"")</f>
        <v/>
      </c>
      <c r="BC17" s="22" t="str">
        <f ca="1">IF(C17&lt;&gt;"",OFFSET('Player Game Board'!V10,BC6+14,A17),"")</f>
        <v/>
      </c>
      <c r="BD17" s="22" t="str">
        <f ca="1">IF(C17&lt;&gt;"",OFFSET('Player Game Board'!V10,BD6+14,A17),"")</f>
        <v/>
      </c>
      <c r="BE17" s="22" t="str">
        <f ca="1">IF(C17&lt;&gt;"",OFFSET('Player Game Board'!V10,BE6+14,A17),"")</f>
        <v/>
      </c>
      <c r="BF17" s="22" t="str">
        <f ca="1">IF(C17&lt;&gt;"",OFFSET('Player Game Board'!V10,BF6+14,A17),"")</f>
        <v/>
      </c>
      <c r="BG17" s="22" t="str">
        <f ca="1">IF(C17&lt;&gt;"",OFFSET('Player Game Board'!V10,BG6+14,A17),"")</f>
        <v/>
      </c>
      <c r="BH17" s="22" t="str">
        <f ca="1">IF(C17&lt;&gt;"",OFFSET('Player Game Board'!V10,BH6+14,A17),"")</f>
        <v/>
      </c>
      <c r="BI17" s="22" t="str">
        <f ca="1">IF(C17&lt;&gt;"",OFFSET('Player Game Board'!V10,BI6+14,A17),"")</f>
        <v/>
      </c>
      <c r="BJ17" s="22" t="str">
        <f ca="1">IF(C17&lt;&gt;"",OFFSET('Player Game Board'!V10,BJ6+14,A17),"")</f>
        <v/>
      </c>
      <c r="BK17" s="22" t="str">
        <f ca="1">IF(C17&lt;&gt;"",OFFSET('Player Game Board'!V10,BK6+14,A17),"")</f>
        <v/>
      </c>
      <c r="BL17" s="22" t="str">
        <f ca="1">IF(C17&lt;&gt;"",OFFSET('Player Game Board'!V10,BL6+14,A17),"")</f>
        <v/>
      </c>
      <c r="BM17" s="22" t="str">
        <f ca="1">IF(C17&lt;&gt;"",OFFSET('Player Game Board'!V10,BM6+14,A17),"")</f>
        <v/>
      </c>
    </row>
    <row r="18" spans="1:65" ht="15" customHeight="1" x14ac:dyDescent="0.3">
      <c r="A18" s="133">
        <f t="shared" si="11"/>
        <v>80</v>
      </c>
      <c r="B18" s="29">
        <v>9</v>
      </c>
      <c r="C18" s="272" t="str">
        <f>IF('Player Setup'!C14&lt;&gt;"",'Player Setup'!C14,"")</f>
        <v/>
      </c>
      <c r="D18" s="30" t="str">
        <f t="shared" ca="1" si="5"/>
        <v/>
      </c>
      <c r="E18" s="23">
        <f t="shared" ca="1" si="6"/>
        <v>0</v>
      </c>
      <c r="F18" s="23">
        <f t="shared" ca="1" si="7"/>
        <v>0</v>
      </c>
      <c r="G18" s="23" t="str">
        <f>IF(C18&lt;&gt;"",IF('Player Setup'!D14&lt;&gt;"",'Player Setup'!D14,0),"")</f>
        <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t="str">
        <f ca="1">IF(C18&lt;&gt;"",OFFSET('Player Game Board'!V10,AY6+14,A18),"")</f>
        <v/>
      </c>
      <c r="AZ18" s="22" t="str">
        <f ca="1">IF(C18&lt;&gt;"",OFFSET('Player Game Board'!V10,AZ6+14,A18),"")</f>
        <v/>
      </c>
      <c r="BA18" s="22" t="str">
        <f ca="1">IF(C18&lt;&gt;"",OFFSET('Player Game Board'!V10,BA6+14,A18),"")</f>
        <v/>
      </c>
      <c r="BB18" s="22" t="str">
        <f ca="1">IF(C18&lt;&gt;"",OFFSET('Player Game Board'!V10,BB6+14,A18),"")</f>
        <v/>
      </c>
      <c r="BC18" s="22" t="str">
        <f ca="1">IF(C18&lt;&gt;"",OFFSET('Player Game Board'!V10,BC6+14,A18),"")</f>
        <v/>
      </c>
      <c r="BD18" s="22" t="str">
        <f ca="1">IF(C18&lt;&gt;"",OFFSET('Player Game Board'!V10,BD6+14,A18),"")</f>
        <v/>
      </c>
      <c r="BE18" s="22" t="str">
        <f ca="1">IF(C18&lt;&gt;"",OFFSET('Player Game Board'!V10,BE6+14,A18),"")</f>
        <v/>
      </c>
      <c r="BF18" s="22" t="str">
        <f ca="1">IF(C18&lt;&gt;"",OFFSET('Player Game Board'!V10,BF6+14,A18),"")</f>
        <v/>
      </c>
      <c r="BG18" s="22" t="str">
        <f ca="1">IF(C18&lt;&gt;"",OFFSET('Player Game Board'!V10,BG6+14,A18),"")</f>
        <v/>
      </c>
      <c r="BH18" s="22" t="str">
        <f ca="1">IF(C18&lt;&gt;"",OFFSET('Player Game Board'!V10,BH6+14,A18),"")</f>
        <v/>
      </c>
      <c r="BI18" s="22" t="str">
        <f ca="1">IF(C18&lt;&gt;"",OFFSET('Player Game Board'!V10,BI6+14,A18),"")</f>
        <v/>
      </c>
      <c r="BJ18" s="22" t="str">
        <f ca="1">IF(C18&lt;&gt;"",OFFSET('Player Game Board'!V10,BJ6+14,A18),"")</f>
        <v/>
      </c>
      <c r="BK18" s="22" t="str">
        <f ca="1">IF(C18&lt;&gt;"",OFFSET('Player Game Board'!V10,BK6+14,A18),"")</f>
        <v/>
      </c>
      <c r="BL18" s="22" t="str">
        <f ca="1">IF(C18&lt;&gt;"",OFFSET('Player Game Board'!V10,BL6+14,A18),"")</f>
        <v/>
      </c>
      <c r="BM18" s="22" t="str">
        <f ca="1">IF(C18&lt;&gt;"",OFFSET('Player Game Board'!V10,BM6+14,A18),"")</f>
        <v/>
      </c>
    </row>
    <row r="19" spans="1:65" ht="15" customHeight="1" x14ac:dyDescent="0.3">
      <c r="A19" s="133">
        <f t="shared" si="11"/>
        <v>90</v>
      </c>
      <c r="B19" s="29">
        <v>10</v>
      </c>
      <c r="C19" s="272" t="str">
        <f>IF('Player Setup'!C15&lt;&gt;"",'Player Setup'!C15,"")</f>
        <v/>
      </c>
      <c r="D19" s="30" t="str">
        <f t="shared" ca="1" si="5"/>
        <v/>
      </c>
      <c r="E19" s="23">
        <f t="shared" ca="1" si="6"/>
        <v>0</v>
      </c>
      <c r="F19" s="23">
        <f t="shared" ca="1" si="7"/>
        <v>0</v>
      </c>
      <c r="G19" s="23" t="str">
        <f>IF(C19&lt;&gt;"",IF('Player Setup'!D15&lt;&gt;"",'Player Setup'!D15,0),"")</f>
        <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t="str">
        <f ca="1">IF(C19&lt;&gt;"",OFFSET('Player Game Board'!V10,AY6+14,A19),"")</f>
        <v/>
      </c>
      <c r="AZ19" s="22" t="str">
        <f ca="1">IF(C19&lt;&gt;"",OFFSET('Player Game Board'!V10,AZ6+14,A19),"")</f>
        <v/>
      </c>
      <c r="BA19" s="22" t="str">
        <f ca="1">IF(C19&lt;&gt;"",OFFSET('Player Game Board'!V10,BA6+14,A19),"")</f>
        <v/>
      </c>
      <c r="BB19" s="22" t="str">
        <f ca="1">IF(C19&lt;&gt;"",OFFSET('Player Game Board'!V10,BB6+14,A19),"")</f>
        <v/>
      </c>
      <c r="BC19" s="22" t="str">
        <f ca="1">IF(C19&lt;&gt;"",OFFSET('Player Game Board'!V10,BC6+14,A19),"")</f>
        <v/>
      </c>
      <c r="BD19" s="22" t="str">
        <f ca="1">IF(C19&lt;&gt;"",OFFSET('Player Game Board'!V10,BD6+14,A19),"")</f>
        <v/>
      </c>
      <c r="BE19" s="22" t="str">
        <f ca="1">IF(C19&lt;&gt;"",OFFSET('Player Game Board'!V10,BE6+14,A19),"")</f>
        <v/>
      </c>
      <c r="BF19" s="22" t="str">
        <f ca="1">IF(C19&lt;&gt;"",OFFSET('Player Game Board'!V10,BF6+14,A19),"")</f>
        <v/>
      </c>
      <c r="BG19" s="22" t="str">
        <f ca="1">IF(C19&lt;&gt;"",OFFSET('Player Game Board'!V10,BG6+14,A19),"")</f>
        <v/>
      </c>
      <c r="BH19" s="22" t="str">
        <f ca="1">IF(C19&lt;&gt;"",OFFSET('Player Game Board'!V10,BH6+14,A19),"")</f>
        <v/>
      </c>
      <c r="BI19" s="22" t="str">
        <f ca="1">IF(C19&lt;&gt;"",OFFSET('Player Game Board'!V10,BI6+14,A19),"")</f>
        <v/>
      </c>
      <c r="BJ19" s="22" t="str">
        <f ca="1">IF(C19&lt;&gt;"",OFFSET('Player Game Board'!V10,BJ6+14,A19),"")</f>
        <v/>
      </c>
      <c r="BK19" s="22" t="str">
        <f ca="1">IF(C19&lt;&gt;"",OFFSET('Player Game Board'!V10,BK6+14,A19),"")</f>
        <v/>
      </c>
      <c r="BL19" s="22" t="str">
        <f ca="1">IF(C19&lt;&gt;"",OFFSET('Player Game Board'!V10,BL6+14,A19),"")</f>
        <v/>
      </c>
      <c r="BM19" s="22" t="str">
        <f ca="1">IF(C19&lt;&gt;"",OFFSET('Player Game Board'!V10,BM6+14,A19),"")</f>
        <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baseColWidth="10" defaultColWidth="9.109375" defaultRowHeight="12.6" x14ac:dyDescent="0.2"/>
  <cols>
    <col min="1" max="1" width="1.44140625" style="7" customWidth="1"/>
    <col min="2" max="2" width="3.44140625" style="7" customWidth="1"/>
    <col min="3" max="3" width="23.44140625" style="7" customWidth="1"/>
    <col min="4" max="8" width="13.44140625" style="7" customWidth="1"/>
    <col min="9" max="10" width="13.44140625" style="11" customWidth="1"/>
    <col min="11" max="13" width="13.44140625" style="7" customWidth="1"/>
    <col min="14" max="14" width="3.44140625" style="7" customWidth="1"/>
    <col min="15" max="16384" width="9.109375" style="7"/>
  </cols>
  <sheetData>
    <row r="1" spans="2:13" s="31" customFormat="1" ht="4.95" customHeight="1" x14ac:dyDescent="0.2">
      <c r="I1" s="32"/>
      <c r="J1" s="32"/>
    </row>
    <row r="2" spans="2:13" ht="4.95" customHeight="1" x14ac:dyDescent="0.2"/>
    <row r="3" spans="2:13" ht="30" customHeight="1" x14ac:dyDescent="0.2">
      <c r="B3" s="18" t="s">
        <v>171</v>
      </c>
      <c r="C3" s="33"/>
      <c r="D3" s="33"/>
      <c r="E3" s="33"/>
      <c r="F3" s="33"/>
      <c r="G3" s="33"/>
      <c r="H3" s="33"/>
      <c r="I3" s="33"/>
      <c r="J3" s="33"/>
      <c r="K3" s="33"/>
      <c r="L3" s="33"/>
      <c r="M3" s="33"/>
    </row>
    <row r="4" spans="2:13" ht="4.95" customHeight="1" x14ac:dyDescent="0.2">
      <c r="I4" s="34"/>
    </row>
    <row r="5" spans="2:13" ht="15" customHeight="1" x14ac:dyDescent="0.2">
      <c r="B5" s="403" t="s">
        <v>67</v>
      </c>
      <c r="C5" s="403" t="s">
        <v>68</v>
      </c>
      <c r="D5" s="402" t="s">
        <v>163</v>
      </c>
      <c r="E5" s="402" t="s">
        <v>164</v>
      </c>
      <c r="F5" s="402" t="s">
        <v>165</v>
      </c>
      <c r="G5" s="402" t="s">
        <v>166</v>
      </c>
      <c r="H5" s="403" t="s">
        <v>167</v>
      </c>
      <c r="I5" s="403"/>
      <c r="J5" s="402" t="s">
        <v>172</v>
      </c>
      <c r="K5" s="403" t="s">
        <v>169</v>
      </c>
      <c r="L5" s="403"/>
      <c r="M5" s="403"/>
    </row>
    <row r="6" spans="2:13" ht="15" customHeight="1" x14ac:dyDescent="0.2">
      <c r="B6" s="403"/>
      <c r="C6" s="403"/>
      <c r="D6" s="402"/>
      <c r="E6" s="402"/>
      <c r="F6" s="402"/>
      <c r="G6" s="402"/>
      <c r="H6" s="402" t="s">
        <v>164</v>
      </c>
      <c r="I6" s="405" t="s">
        <v>166</v>
      </c>
      <c r="J6" s="402"/>
      <c r="K6" s="402" t="s">
        <v>164</v>
      </c>
      <c r="L6" s="402" t="s">
        <v>173</v>
      </c>
      <c r="M6" s="402" t="s">
        <v>166</v>
      </c>
    </row>
    <row r="7" spans="2:13" ht="15" customHeight="1" x14ac:dyDescent="0.2">
      <c r="B7" s="403"/>
      <c r="C7" s="403"/>
      <c r="D7" s="402"/>
      <c r="E7" s="402"/>
      <c r="F7" s="402"/>
      <c r="G7" s="402"/>
      <c r="H7" s="402"/>
      <c r="I7" s="405"/>
      <c r="J7" s="402"/>
      <c r="K7" s="402"/>
      <c r="L7" s="402"/>
      <c r="M7" s="402"/>
    </row>
    <row r="8" spans="2:13" ht="15" customHeight="1" x14ac:dyDescent="0.2">
      <c r="B8" s="403"/>
      <c r="C8" s="403"/>
      <c r="D8" s="402"/>
      <c r="E8" s="402"/>
      <c r="F8" s="402"/>
      <c r="G8" s="402"/>
      <c r="H8" s="402"/>
      <c r="I8" s="405"/>
      <c r="J8" s="402"/>
      <c r="K8" s="402"/>
      <c r="L8" s="402"/>
      <c r="M8" s="402"/>
    </row>
    <row r="9" spans="2:13" ht="15" customHeight="1" x14ac:dyDescent="0.2">
      <c r="B9" s="22">
        <v>1</v>
      </c>
      <c r="C9" s="35" t="str">
        <f ca="1">IFERROR(INDEX('Dummy Rank'!F7:F16,MATCH('Player Leaderboard'!B9,'Dummy Rank'!E7:E16,0),0),"")</f>
        <v>Magnus (TRAC)</v>
      </c>
      <c r="D9" s="23">
        <f ca="1">IFERROR(VLOOKUP(C9,'Player Scoreboard'!C10:N19,2,FALSE),"")</f>
        <v>42</v>
      </c>
      <c r="E9" s="23">
        <f ca="1">IFERROR(VLOOKUP(C9,'Player Scoreboard'!C10:N19,3,FALSE),"")</f>
        <v>42</v>
      </c>
      <c r="F9" s="23">
        <f ca="1">IFERROR(VLOOKUP(C9,'Player Scoreboard'!C10:N19,4,FALSE),"")</f>
        <v>0</v>
      </c>
      <c r="G9" s="23">
        <f ca="1">IFERROR(VLOOKUP(C9,'Player Scoreboard'!C$10:N$19,6,FALSE),"")</f>
        <v>3</v>
      </c>
      <c r="H9" s="23">
        <f ca="1">IFERROR(VLOOKUP(C9,'Player Scoreboard'!C$10:N$19,7,FALSE),"")</f>
        <v>42</v>
      </c>
      <c r="I9" s="23">
        <f ca="1">IFERROR(VLOOKUP(C9,'Player Scoreboard'!C$10:N$19,8,FALSE),"")</f>
        <v>3</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Hanne Maren (TRAC)</v>
      </c>
      <c r="D10" s="23">
        <f ca="1">IFERROR(VLOOKUP(C10,'Player Scoreboard'!C10:N19,2,FALSE),"")</f>
        <v>38</v>
      </c>
      <c r="E10" s="23">
        <f ca="1">IFERROR(VLOOKUP(C10,'Player Scoreboard'!C10:N19,3,FALSE),"")</f>
        <v>38</v>
      </c>
      <c r="F10" s="23">
        <f ca="1">IFERROR(VLOOKUP(C10,'Player Scoreboard'!C10:N19,4,FALSE),"")</f>
        <v>0</v>
      </c>
      <c r="G10" s="22">
        <f ca="1">IFERROR(VLOOKUP(C10,'Player Scoreboard'!C$10:N$19,6,FALSE),"")</f>
        <v>3</v>
      </c>
      <c r="H10" s="23">
        <f ca="1">IFERROR(VLOOKUP(C10,'Player Scoreboard'!C$10:N$19,7,FALSE),"")</f>
        <v>38</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Mateo (Virksomhet)</v>
      </c>
      <c r="D11" s="23">
        <f ca="1">IFERROR(VLOOKUP(C11,'Player Scoreboard'!C10:N19,2,FALSE),"")</f>
        <v>34</v>
      </c>
      <c r="E11" s="23">
        <f ca="1">IFERROR(VLOOKUP(C11,'Player Scoreboard'!C10:N19,3,FALSE),"")</f>
        <v>34</v>
      </c>
      <c r="F11" s="23">
        <f ca="1">IFERROR(VLOOKUP(C11,'Player Scoreboard'!C10:N19,4,FALSE),"")</f>
        <v>0</v>
      </c>
      <c r="G11" s="23">
        <f ca="1">IFERROR(VLOOKUP(C11,'Player Scoreboard'!C$10:N$19,6,FALSE),"")</f>
        <v>1</v>
      </c>
      <c r="H11" s="23">
        <f ca="1">IFERROR(VLOOKUP(C11,'Player Scoreboard'!C$10:N$19,7,FALSE),"")</f>
        <v>34</v>
      </c>
      <c r="I11" s="23">
        <f ca="1">IFERROR(VLOOKUP(C11,'Player Scoreboard'!C$10:N$19,8,FALSE),"")</f>
        <v>1</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Kjell Tore (Too Little Too Late)</v>
      </c>
      <c r="D12" s="23">
        <f ca="1">IFERROR(VLOOKUP(C12,'Player Scoreboard'!C10:N19,2,FALSE),"")</f>
        <v>32</v>
      </c>
      <c r="E12" s="23">
        <f ca="1">IFERROR(VLOOKUP(C12,'Player Scoreboard'!C10:N19,3,FALSE),"")</f>
        <v>32</v>
      </c>
      <c r="F12" s="23">
        <f ca="1">IFERROR(VLOOKUP(C12,'Player Scoreboard'!C10:N19,4,FALSE),"")</f>
        <v>0</v>
      </c>
      <c r="G12" s="22">
        <f ca="1">IFERROR(VLOOKUP(C12,'Player Scoreboard'!C$10:N$19,6,FALSE),"")</f>
        <v>2</v>
      </c>
      <c r="H12" s="23">
        <f ca="1">IFERROR(VLOOKUP(C12,'Player Scoreboard'!C$10:N$19,7,FALSE),"")</f>
        <v>32</v>
      </c>
      <c r="I12" s="23">
        <f ca="1">IFERROR(VLOOKUP(C12,'Player Scoreboard'!C$10:N$19,8,FALSE),"")</f>
        <v>2</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Stian (Virksomhet)</v>
      </c>
      <c r="D13" s="23">
        <f ca="1">IFERROR(VLOOKUP(C13,'Player Scoreboard'!C10:N19,2,FALSE),"")</f>
        <v>30</v>
      </c>
      <c r="E13" s="23">
        <f ca="1">IFERROR(VLOOKUP(C13,'Player Scoreboard'!C10:N19,3,FALSE),"")</f>
        <v>30</v>
      </c>
      <c r="F13" s="23">
        <f ca="1">IFERROR(VLOOKUP(C13,'Player Scoreboard'!C10:N19,4,FALSE),"")</f>
        <v>0</v>
      </c>
      <c r="G13" s="23">
        <f ca="1">IFERROR(VLOOKUP(C13,'Player Scoreboard'!C$10:N$19,6,FALSE),"")</f>
        <v>2</v>
      </c>
      <c r="H13" s="23">
        <f ca="1">IFERROR(VLOOKUP(C13,'Player Scoreboard'!C$10:N$19,7,FALSE),"")</f>
        <v>30</v>
      </c>
      <c r="I13" s="23">
        <f ca="1">IFERROR(VLOOKUP(C13,'Player Scoreboard'!C$10:N$19,8,FALSE),"")</f>
        <v>2</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Flemming (IFA)</v>
      </c>
      <c r="D14" s="23">
        <f ca="1">IFERROR(VLOOKUP(C14,'Player Scoreboard'!C10:N19,2,FALSE),"")</f>
        <v>28</v>
      </c>
      <c r="E14" s="23">
        <f ca="1">IFERROR(VLOOKUP(C14,'Player Scoreboard'!C10:N19,3,FALSE),"")</f>
        <v>28</v>
      </c>
      <c r="F14" s="23">
        <f ca="1">IFERROR(VLOOKUP(C14,'Player Scoreboard'!C10:N19,4,FALSE),"")</f>
        <v>0</v>
      </c>
      <c r="G14" s="22">
        <f ca="1">IFERROR(VLOOKUP(C14,'Player Scoreboard'!C$10:N$19,6,FALSE),"")</f>
        <v>0</v>
      </c>
      <c r="H14" s="23">
        <f ca="1">IFERROR(VLOOKUP(C14,'Player Scoreboard'!C$10:N$19,7,FALSE),"")</f>
        <v>28</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Steve (TRAC)</v>
      </c>
      <c r="D15" s="23">
        <f ca="1">IFERROR(VLOOKUP(C15,'Player Scoreboard'!C10:N19,2,FALSE),"")</f>
        <v>26</v>
      </c>
      <c r="E15" s="23">
        <f ca="1">IFERROR(VLOOKUP(C15,'Player Scoreboard'!C10:N19,3,FALSE),"")</f>
        <v>26</v>
      </c>
      <c r="F15" s="23">
        <f ca="1">IFERROR(VLOOKUP(C15,'Player Scoreboard'!C10:N19,4,FALSE),"")</f>
        <v>0</v>
      </c>
      <c r="G15" s="23">
        <f ca="1">IFERROR(VLOOKUP(C15,'Player Scoreboard'!C$10:N$19,6,FALSE),"")</f>
        <v>3</v>
      </c>
      <c r="H15" s="23">
        <f ca="1">IFERROR(VLOOKUP(C15,'Player Scoreboard'!C$10:N$19,7,FALSE),"")</f>
        <v>26</v>
      </c>
      <c r="I15" s="23">
        <f ca="1">IFERROR(VLOOKUP(C15,'Player Scoreboard'!C$10:N$19,8,FALSE),"")</f>
        <v>3</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
      </c>
      <c r="D16" s="23" t="str">
        <f ca="1">IFERROR(VLOOKUP(C16,'Player Scoreboard'!C10:N19,2,FALSE),"")</f>
        <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
      </c>
      <c r="D17" s="23" t="str">
        <f ca="1">IFERROR(VLOOKUP(C17,'Player Scoreboard'!C10:N19,2,FALSE),"")</f>
        <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
      </c>
      <c r="D18" s="23" t="str">
        <f ca="1">IFERROR(VLOOKUP(C18,'Player Scoreboard'!C10:N19,2,FALSE),"")</f>
        <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baseColWidth="10" defaultColWidth="8.77734375" defaultRowHeight="13.8" x14ac:dyDescent="0.3"/>
  <cols>
    <col min="1" max="1" width="1.44140625" style="133" customWidth="1"/>
    <col min="2" max="2" width="3.44140625" style="7" customWidth="1"/>
    <col min="3" max="3" width="23.44140625" style="7" customWidth="1"/>
    <col min="4" max="4" width="9.109375" style="7"/>
    <col min="5" max="5" width="17.77734375" style="7" customWidth="1"/>
    <col min="6" max="6" width="10.77734375" style="7" customWidth="1"/>
    <col min="7" max="57" width="9.109375" style="7"/>
  </cols>
  <sheetData>
    <row r="1" spans="1:57" s="25" customFormat="1" ht="4.95"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4.95" customHeight="1" x14ac:dyDescent="0.3">
      <c r="A2" s="133"/>
    </row>
    <row r="3" spans="1:57" s="7" customFormat="1" ht="30" customHeight="1" x14ac:dyDescent="0.3">
      <c r="A3" s="133"/>
      <c r="B3" s="18" t="s">
        <v>174</v>
      </c>
      <c r="C3" s="16"/>
      <c r="D3" s="16"/>
      <c r="E3" s="16"/>
      <c r="F3" s="16"/>
    </row>
    <row r="4" spans="1:57" s="7" customFormat="1" ht="4.95" customHeight="1" x14ac:dyDescent="0.3">
      <c r="A4" s="133"/>
      <c r="B4" s="16"/>
      <c r="C4" s="16"/>
      <c r="D4" s="16"/>
      <c r="E4" s="16"/>
      <c r="F4" s="16"/>
    </row>
    <row r="5" spans="1:57" s="7" customFormat="1" ht="15" customHeight="1" x14ac:dyDescent="0.3">
      <c r="A5" s="133"/>
      <c r="B5" s="117"/>
      <c r="C5" s="117"/>
      <c r="D5" s="119"/>
      <c r="E5" s="117"/>
      <c r="F5" s="117"/>
      <c r="G5" s="408" t="s">
        <v>159</v>
      </c>
      <c r="H5" s="408"/>
      <c r="I5" s="408"/>
      <c r="J5" s="408"/>
      <c r="K5" s="408"/>
      <c r="L5" s="408"/>
      <c r="M5" s="408"/>
      <c r="N5" s="408"/>
      <c r="O5" s="408"/>
      <c r="P5" s="408"/>
      <c r="Q5" s="408"/>
      <c r="R5" s="408"/>
      <c r="S5" s="408"/>
      <c r="T5" s="408"/>
      <c r="U5" s="408"/>
      <c r="V5" s="408"/>
      <c r="W5" s="408"/>
      <c r="X5" s="408"/>
      <c r="Y5" s="408"/>
      <c r="Z5" s="408"/>
      <c r="AA5" s="408"/>
      <c r="AB5" s="408"/>
      <c r="AC5" s="408"/>
      <c r="AD5" s="408"/>
      <c r="AE5" s="408"/>
      <c r="AF5" s="408"/>
      <c r="AG5" s="408"/>
      <c r="AH5" s="408"/>
      <c r="AI5" s="408"/>
      <c r="AJ5" s="408"/>
      <c r="AK5" s="408"/>
      <c r="AL5" s="408"/>
      <c r="AM5" s="408"/>
      <c r="AN5" s="408"/>
      <c r="AO5" s="408"/>
      <c r="AP5" s="408"/>
      <c r="AQ5" s="404" t="s">
        <v>160</v>
      </c>
      <c r="AR5" s="404"/>
      <c r="AS5" s="404"/>
      <c r="AT5" s="404"/>
      <c r="AU5" s="404"/>
      <c r="AV5" s="404"/>
      <c r="AW5" s="404"/>
      <c r="AX5" s="404"/>
      <c r="AY5" s="404" t="s">
        <v>161</v>
      </c>
      <c r="AZ5" s="404"/>
      <c r="BA5" s="404"/>
      <c r="BB5" s="404"/>
      <c r="BC5" s="404" t="s">
        <v>162</v>
      </c>
      <c r="BD5" s="404"/>
      <c r="BE5" s="120" t="s">
        <v>24</v>
      </c>
    </row>
    <row r="6" spans="1:57" s="7" customFormat="1" ht="15" customHeight="1" x14ac:dyDescent="0.3">
      <c r="A6" s="133"/>
      <c r="B6" s="403" t="s">
        <v>67</v>
      </c>
      <c r="C6" s="406" t="s">
        <v>68</v>
      </c>
      <c r="D6" s="403" t="s">
        <v>175</v>
      </c>
      <c r="E6" s="403"/>
      <c r="F6" s="403"/>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03"/>
      <c r="C7" s="406"/>
      <c r="D7" s="402" t="s">
        <v>176</v>
      </c>
      <c r="E7" s="402" t="s">
        <v>177</v>
      </c>
      <c r="F7" s="402" t="s">
        <v>178</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03"/>
      <c r="C8" s="406"/>
      <c r="D8" s="402"/>
      <c r="E8" s="402"/>
      <c r="F8" s="402"/>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03"/>
      <c r="C9" s="407"/>
      <c r="D9" s="402"/>
      <c r="E9" s="402"/>
      <c r="F9" s="402"/>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 xml:space="preserve"> - </v>
      </c>
      <c r="AA9" s="120" t="str">
        <f ca="1">LEFT(OFFSET(Matches!H8,AA6-1,0),3)&amp;" - "&amp;LEFT(OFFSET(Matches!I8,AA6-1,0),3)</f>
        <v>1 - 2</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Magnus (TRAC)</v>
      </c>
      <c r="D10" s="24">
        <f ca="1">SUM(E10:F10)</f>
        <v>3</v>
      </c>
      <c r="E10" s="22">
        <f ca="1">IF(C10&lt;&gt;"",OFFSET('Player Game Board'!N9,G6-1,A10),0)</f>
        <v>3</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4.4" x14ac:dyDescent="0.3">
      <c r="A11" s="133">
        <f>A10+10</f>
        <v>10</v>
      </c>
      <c r="B11" s="29">
        <v>2</v>
      </c>
      <c r="C11" s="272" t="str">
        <f>IF('Player Setup'!C7&lt;&gt;"",'Player Setup'!C7,"")</f>
        <v>Steve (TRAC)</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4.4" x14ac:dyDescent="0.3">
      <c r="A12" s="133">
        <f t="shared" ref="A12:A19" si="4">A11+10</f>
        <v>20</v>
      </c>
      <c r="B12" s="29">
        <v>3</v>
      </c>
      <c r="C12" s="272" t="str">
        <f>IF('Player Setup'!C8&lt;&gt;"",'Player Setup'!C8,"")</f>
        <v>Mateo (Virksomhet)</v>
      </c>
      <c r="D12" s="22">
        <f t="shared" ca="1" si="3"/>
        <v>1</v>
      </c>
      <c r="E12" s="23">
        <f ca="1">IF(C12&lt;&gt;"",OFFSET('Player Game Board'!N9,G6-1,A12),0)</f>
        <v>1</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3 - 0</v>
      </c>
      <c r="AR12" s="22" t="str">
        <f ca="1">IF(C12&lt;&gt;"",OFFSET('Player Game Board'!P10,AR6+14,A12)&amp;" - "&amp;OFFSET('Player Game Board'!Q10,AR6+14,A12),"")</f>
        <v>1 - 2</v>
      </c>
      <c r="AS12" s="22" t="str">
        <f ca="1">IF(C12&lt;&gt;"",OFFSET('Player Game Board'!P10,AS6+14,A12)&amp;" - "&amp;OFFSET('Player Game Board'!Q10,AS6+14,A12),"")</f>
        <v>3 - 0</v>
      </c>
      <c r="AT12" s="22" t="str">
        <f ca="1">IF(C12&lt;&gt;"",OFFSET('Player Game Board'!P10,AT6+14,A12)&amp;" - "&amp;OFFSET('Player Game Board'!Q10,AT6+14,A12),"")</f>
        <v>2 - 1</v>
      </c>
      <c r="AU12" s="22" t="str">
        <f ca="1">IF(C12&lt;&gt;"",OFFSET('Player Game Board'!P10,AU6+14,A12)&amp;" - "&amp;OFFSET('Player Game Board'!Q10,AU6+14,A12),"")</f>
        <v>3 - 1</v>
      </c>
      <c r="AV12" s="22" t="str">
        <f ca="1">IF(C12&lt;&gt;"",OFFSET('Player Game Board'!P10,AV6+14,A12)&amp;" - "&amp;OFFSET('Player Game Board'!Q10,AV6+14,A12),"")</f>
        <v>1 - 1</v>
      </c>
      <c r="AW12" s="22" t="str">
        <f ca="1">IF(C12&lt;&gt;"",OFFSET('Player Game Board'!P10,AW6+14,A12)&amp;" - "&amp;OFFSET('Player Game Board'!Q10,AW6+14,A12),"")</f>
        <v>1 - 2</v>
      </c>
      <c r="AX12" s="22" t="str">
        <f ca="1">IF(C12&lt;&gt;"",OFFSET('Player Game Board'!P10,AX6+14,A12)&amp;" - "&amp;OFFSET('Player Game Board'!Q10,AX6+14,A12),"")</f>
        <v>2 - 2</v>
      </c>
      <c r="AY12" s="22" t="str">
        <f ca="1">IF(C12&lt;&gt;"",OFFSET('Player Game Board'!P10,AY6+14,A12)&amp;" - "&amp;OFFSET('Player Game Board'!Q10,AY6+14,A12),"")</f>
        <v>2 - 3</v>
      </c>
      <c r="AZ12" s="22" t="str">
        <f ca="1">IF(C12&lt;&gt;"",OFFSET('Player Game Board'!P10,AZ6+14,A12)&amp;" - "&amp;OFFSET('Player Game Board'!Q10,AZ6+14,A12),"")</f>
        <v>2 - 1</v>
      </c>
      <c r="BA12" s="22" t="str">
        <f ca="1">IF(C12&lt;&gt;"",OFFSET('Player Game Board'!P10,BA6+14,A12)&amp;" - "&amp;OFFSET('Player Game Board'!Q10,BA6+14,A12),"")</f>
        <v>0 - 2</v>
      </c>
      <c r="BB12" s="22" t="str">
        <f ca="1">IF(C12&lt;&gt;"",OFFSET('Player Game Board'!P10,BB6+14,A12)&amp;" - "&amp;OFFSET('Player Game Board'!Q10,BB6+14,A12),"")</f>
        <v>1 - 2</v>
      </c>
      <c r="BC12" s="22" t="str">
        <f ca="1">IF(C12&lt;&gt;"",OFFSET('Player Game Board'!P10,BC6+14,A12)&amp;" - "&amp;OFFSET('Player Game Board'!Q10,BC6+14,A12),"")</f>
        <v>2 - 1</v>
      </c>
      <c r="BD12" s="22" t="str">
        <f ca="1">IF(C12&lt;&gt;"",OFFSET('Player Game Board'!P10,BD6+14,A12)&amp;" - "&amp;OFFSET('Player Game Board'!Q10,BD6+14,A12),"")</f>
        <v>2 - 1</v>
      </c>
      <c r="BE12" s="22" t="str">
        <f ca="1">IF(C12&lt;&gt;"",OFFSET('Player Game Board'!P10,BE6+14,A12)&amp;" - "&amp;OFFSET('Player Game Board'!Q10,BE6+14,A12),"")</f>
        <v>2 - 1</v>
      </c>
    </row>
    <row r="13" spans="1:57" ht="14.4" x14ac:dyDescent="0.3">
      <c r="A13" s="133">
        <f t="shared" si="4"/>
        <v>30</v>
      </c>
      <c r="B13" s="29">
        <v>4</v>
      </c>
      <c r="C13" s="272"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Stian (Virksomhet)</v>
      </c>
      <c r="D14" s="22">
        <f t="shared" ca="1" si="3"/>
        <v>2</v>
      </c>
      <c r="E14" s="23">
        <f ca="1">IF(C14&lt;&gt;"",OFFSET('Player Game Board'!N9,G6-1,A14),0)</f>
        <v>2</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1 - 0</v>
      </c>
      <c r="AR14" s="22" t="str">
        <f ca="1">IF(C14&lt;&gt;"",OFFSET('Player Game Board'!P10,AR6+14,A14)&amp;" - "&amp;OFFSET('Player Game Board'!Q10,AR6+14,A14),"")</f>
        <v>0 - 2</v>
      </c>
      <c r="AS14" s="22" t="str">
        <f ca="1">IF(C14&lt;&gt;"",OFFSET('Player Game Board'!P10,AS6+14,A14)&amp;" - "&amp;OFFSET('Player Game Board'!Q10,AS6+14,A14),"")</f>
        <v>2 - 1</v>
      </c>
      <c r="AT14" s="22" t="str">
        <f ca="1">IF(C14&lt;&gt;"",OFFSET('Player Game Board'!P10,AT6+14,A14)&amp;" - "&amp;OFFSET('Player Game Board'!Q10,AT6+14,A14),"")</f>
        <v>1 - 1</v>
      </c>
      <c r="AU14" s="22" t="str">
        <f ca="1">IF(C14&lt;&gt;"",OFFSET('Player Game Board'!P10,AU6+14,A14)&amp;" - "&amp;OFFSET('Player Game Board'!Q10,AU6+14,A14),"")</f>
        <v>2 - 0</v>
      </c>
      <c r="AV14" s="22" t="str">
        <f ca="1">IF(C14&lt;&gt;"",OFFSET('Player Game Board'!P10,AV6+14,A14)&amp;" - "&amp;OFFSET('Player Game Board'!Q10,AV6+14,A14),"")</f>
        <v>3 - 0</v>
      </c>
      <c r="AW14" s="22" t="str">
        <f ca="1">IF(C14&lt;&gt;"",OFFSET('Player Game Board'!P10,AW6+14,A14)&amp;" - "&amp;OFFSET('Player Game Board'!Q10,AW6+14,A14),"")</f>
        <v>0 - 1</v>
      </c>
      <c r="AX14" s="22" t="str">
        <f ca="1">IF(C14&lt;&gt;"",OFFSET('Player Game Board'!P10,AX6+14,A14)&amp;" - "&amp;OFFSET('Player Game Board'!Q10,AX6+14,A14),"")</f>
        <v>2 - 1</v>
      </c>
      <c r="AY14" s="22" t="str">
        <f ca="1">IF(C14&lt;&gt;"",OFFSET('Player Game Board'!P10,AY6+14,A14)&amp;" - "&amp;OFFSET('Player Game Board'!Q10,AY6+14,A14),"")</f>
        <v>1 - 3</v>
      </c>
      <c r="AZ14" s="22" t="str">
        <f ca="1">IF(C14&lt;&gt;"",OFFSET('Player Game Board'!P10,AZ6+14,A14)&amp;" - "&amp;OFFSET('Player Game Board'!Q10,AZ6+14,A14),"")</f>
        <v>2 - 2</v>
      </c>
      <c r="BA14" s="22" t="str">
        <f ca="1">IF(C14&lt;&gt;"",OFFSET('Player Game Board'!P10,BA6+14,A14)&amp;" - "&amp;OFFSET('Player Game Board'!Q10,BA6+14,A14),"")</f>
        <v>0 - 1</v>
      </c>
      <c r="BB14" s="22" t="str">
        <f ca="1">IF(C14&lt;&gt;"",OFFSET('Player Game Board'!P10,BB6+14,A14)&amp;" - "&amp;OFFSET('Player Game Board'!Q10,BB6+14,A14),"")</f>
        <v>1 - 0</v>
      </c>
      <c r="BC14" s="22" t="str">
        <f ca="1">IF(C14&lt;&gt;"",OFFSET('Player Game Board'!P10,BC6+14,A14)&amp;" - "&amp;OFFSET('Player Game Board'!Q10,BC6+14,A14),"")</f>
        <v>2 - 1</v>
      </c>
      <c r="BD14" s="22" t="str">
        <f ca="1">IF(C14&lt;&gt;"",OFFSET('Player Game Board'!P10,BD6+14,A14)&amp;" - "&amp;OFFSET('Player Game Board'!Q10,BD6+14,A14),"")</f>
        <v>2 - 0</v>
      </c>
      <c r="BE14" s="22" t="str">
        <f ca="1">IF(C14&lt;&gt;"",OFFSET('Player Game Board'!P10,BE6+14,A14)&amp;" - "&amp;OFFSET('Player Game Board'!Q10,BE6+14,A14),"")</f>
        <v>2 - 1</v>
      </c>
    </row>
    <row r="15" spans="1:57" ht="14.4" x14ac:dyDescent="0.3">
      <c r="A15" s="133">
        <f t="shared" si="4"/>
        <v>50</v>
      </c>
      <c r="B15" s="29">
        <v>6</v>
      </c>
      <c r="C15" s="272" t="str">
        <f>IF('Player Setup'!C11&lt;&gt;"",'Player Setup'!C11,"")</f>
        <v>Hanne Maren (TRAC)</v>
      </c>
      <c r="D15" s="22">
        <f t="shared" ca="1" si="3"/>
        <v>3</v>
      </c>
      <c r="E15" s="23">
        <f ca="1">IF(C15&lt;&gt;"",OFFSET('Player Game Board'!N9,G6-1,A15),0)</f>
        <v>3</v>
      </c>
      <c r="F15" s="22">
        <f ca="1">IF(C15&lt;&gt;"",OFFSET('Player Game Board'!N52,G6-1,A15),0)</f>
        <v>0</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2 - 1</v>
      </c>
      <c r="AR15" s="22" t="str">
        <f ca="1">IF(C15&lt;&gt;"",OFFSET('Player Game Board'!P10,AR6+14,A15)&amp;" - "&amp;OFFSET('Player Game Board'!Q10,AR6+14,A15),"")</f>
        <v>1 - 2</v>
      </c>
      <c r="AS15" s="22" t="str">
        <f ca="1">IF(C15&lt;&gt;"",OFFSET('Player Game Board'!P10,AS6+14,A15)&amp;" - "&amp;OFFSET('Player Game Board'!Q10,AS6+14,A15),"")</f>
        <v>3 - 1</v>
      </c>
      <c r="AT15" s="22" t="str">
        <f ca="1">IF(C15&lt;&gt;"",OFFSET('Player Game Board'!P10,AT6+14,A15)&amp;" - "&amp;OFFSET('Player Game Board'!Q10,AT6+14,A15),"")</f>
        <v>3 - 0</v>
      </c>
      <c r="AU15" s="22" t="str">
        <f ca="1">IF(C15&lt;&gt;"",OFFSET('Player Game Board'!P10,AU6+14,A15)&amp;" - "&amp;OFFSET('Player Game Board'!Q10,AU6+14,A15),"")</f>
        <v>2 - 1</v>
      </c>
      <c r="AV15" s="22" t="str">
        <f ca="1">IF(C15&lt;&gt;"",OFFSET('Player Game Board'!P10,AV6+14,A15)&amp;" - "&amp;OFFSET('Player Game Board'!Q10,AV6+14,A15),"")</f>
        <v>3 - 1</v>
      </c>
      <c r="AW15" s="22" t="str">
        <f ca="1">IF(C15&lt;&gt;"",OFFSET('Player Game Board'!P10,AW6+14,A15)&amp;" - "&amp;OFFSET('Player Game Board'!Q10,AW6+14,A15),"")</f>
        <v>2 - 1</v>
      </c>
      <c r="AX15" s="22" t="str">
        <f ca="1">IF(C15&lt;&gt;"",OFFSET('Player Game Board'!P10,AX6+14,A15)&amp;" - "&amp;OFFSET('Player Game Board'!Q10,AX6+14,A15),"")</f>
        <v>2 - 0</v>
      </c>
      <c r="AY15" s="22" t="str">
        <f ca="1">IF(C15&lt;&gt;"",OFFSET('Player Game Board'!P10,AY6+14,A15)&amp;" - "&amp;OFFSET('Player Game Board'!Q10,AY6+14,A15),"")</f>
        <v>2 - 1</v>
      </c>
      <c r="AZ15" s="22" t="str">
        <f ca="1">IF(C15&lt;&gt;"",OFFSET('Player Game Board'!P10,AZ6+14,A15)&amp;" - "&amp;OFFSET('Player Game Board'!Q10,AZ6+14,A15),"")</f>
        <v>1 - 2</v>
      </c>
      <c r="BA15" s="22" t="str">
        <f ca="1">IF(C15&lt;&gt;"",OFFSET('Player Game Board'!P10,BA6+14,A15)&amp;" - "&amp;OFFSET('Player Game Board'!Q10,BA6+14,A15),"")</f>
        <v>1 - 2</v>
      </c>
      <c r="BB15" s="22" t="str">
        <f ca="1">IF(C15&lt;&gt;"",OFFSET('Player Game Board'!P10,BB6+14,A15)&amp;" - "&amp;OFFSET('Player Game Board'!Q10,BB6+14,A15),"")</f>
        <v>2 - 1</v>
      </c>
      <c r="BC15" s="22" t="str">
        <f ca="1">IF(C15&lt;&gt;"",OFFSET('Player Game Board'!P10,BC6+14,A15)&amp;" - "&amp;OFFSET('Player Game Board'!Q10,BC6+14,A15),"")</f>
        <v>2 - 1</v>
      </c>
      <c r="BD15" s="22" t="str">
        <f ca="1">IF(C15&lt;&gt;"",OFFSET('Player Game Board'!P10,BD6+14,A15)&amp;" - "&amp;OFFSET('Player Game Board'!Q10,BD6+14,A15),"")</f>
        <v>1 - 2</v>
      </c>
      <c r="BE15" s="22" t="str">
        <f ca="1">IF(C15&lt;&gt;"",OFFSET('Player Game Board'!P10,BE6+14,A15)&amp;" - "&amp;OFFSET('Player Game Board'!Q10,BE6+14,A15),"")</f>
        <v>1 - 2</v>
      </c>
    </row>
    <row r="16" spans="1:57" ht="14.4" x14ac:dyDescent="0.3">
      <c r="A16" s="133">
        <f t="shared" si="4"/>
        <v>60</v>
      </c>
      <c r="B16" s="29">
        <v>7</v>
      </c>
      <c r="C16" s="272" t="str">
        <f>IF('Player Setup'!C12&lt;&gt;"",'Player Setup'!C12,"")</f>
        <v>Kjell Tore (Too Little Too Late)</v>
      </c>
      <c r="D16" s="22">
        <f t="shared" ca="1" si="3"/>
        <v>2</v>
      </c>
      <c r="E16" s="23">
        <f ca="1">IF(C16&lt;&gt;"",OFFSET('Player Game Board'!N9,G6-1,A16),0)</f>
        <v>2</v>
      </c>
      <c r="F16" s="22">
        <f ca="1">IF(C16&lt;&gt;"",OFFSET('Player Game Board'!N52,G6-1,A16),0)</f>
        <v>0</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4.4" x14ac:dyDescent="0.3">
      <c r="A17" s="133">
        <f t="shared" si="4"/>
        <v>70</v>
      </c>
      <c r="B17" s="29">
        <v>8</v>
      </c>
      <c r="C17" s="272" t="str">
        <f>IF('Player Setup'!C13&lt;&gt;"",'Player Setup'!C13,"")</f>
        <v/>
      </c>
      <c r="D17" s="22">
        <f t="shared" ca="1" si="3"/>
        <v>0</v>
      </c>
      <c r="E17" s="23">
        <f ca="1">IF(C17&lt;&gt;"",OFFSET('Player Game Board'!N9,G6-1,A17),0)</f>
        <v>0</v>
      </c>
      <c r="F17" s="22">
        <f ca="1">IF(C17&lt;&gt;"",OFFSET('Player Game Board'!N52,G6-1,A17),0)</f>
        <v>0</v>
      </c>
      <c r="G17" s="22" t="str">
        <f ca="1">IF(C17&lt;&gt;"",OFFSET('Player Game Board'!P10,G6-1,A17)&amp;" - "&amp;OFFSET('Player Game Board'!Q10,G6-1,A17),"")</f>
        <v/>
      </c>
      <c r="H17" s="22" t="str">
        <f ca="1">IF(C17&lt;&gt;"",OFFSET('Player Game Board'!P10,H6-1,A17)&amp;" - "&amp;OFFSET('Player Game Board'!Q10,H6-1,A17),"")</f>
        <v/>
      </c>
      <c r="I17" s="22" t="str">
        <f ca="1">IF(C17&lt;&gt;"",OFFSET('Player Game Board'!P10,I6-1,A17)&amp;" - "&amp;OFFSET('Player Game Board'!Q10,I6-1,A17),"")</f>
        <v/>
      </c>
      <c r="J17" s="22" t="str">
        <f ca="1">IF(C17&lt;&gt;"",OFFSET('Player Game Board'!P10,J6-1,A17)&amp;" - "&amp;OFFSET('Player Game Board'!Q10,J6-1,A17),"")</f>
        <v/>
      </c>
      <c r="K17" s="22" t="str">
        <f ca="1">IF(C17&lt;&gt;"",OFFSET('Player Game Board'!P10,K6-1,A17)&amp;" - "&amp;OFFSET('Player Game Board'!Q10,K6-1,A17),"")</f>
        <v/>
      </c>
      <c r="L17" s="22" t="str">
        <f ca="1">IF(C17&lt;&gt;"",OFFSET('Player Game Board'!P10,L6-1,A17)&amp;" - "&amp;OFFSET('Player Game Board'!Q10,L6-1,A17),"")</f>
        <v/>
      </c>
      <c r="M17" s="22" t="str">
        <f ca="1">IF(C17&lt;&gt;"",OFFSET('Player Game Board'!P10,M6-1,A17)&amp;" - "&amp;OFFSET('Player Game Board'!Q10,M6-1,A17),"")</f>
        <v/>
      </c>
      <c r="N17" s="22" t="str">
        <f ca="1">IF(C17&lt;&gt;"",OFFSET('Player Game Board'!P10,N6-1,A17)&amp;" - "&amp;OFFSET('Player Game Board'!Q10,N6-1,A17),"")</f>
        <v/>
      </c>
      <c r="O17" s="22" t="str">
        <f ca="1">IF(C17&lt;&gt;"",OFFSET('Player Game Board'!P10,O6-1,A17)&amp;" - "&amp;OFFSET('Player Game Board'!Q10,O6-1,A17),"")</f>
        <v/>
      </c>
      <c r="P17" s="22" t="str">
        <f ca="1">IF(C17&lt;&gt;"",OFFSET('Player Game Board'!P10,P6-1,A17)&amp;" - "&amp;OFFSET('Player Game Board'!Q10,P6-1,A17),"")</f>
        <v/>
      </c>
      <c r="Q17" s="22" t="str">
        <f ca="1">IF(C17&lt;&gt;"",OFFSET('Player Game Board'!P10,Q6-1,A17)&amp;" - "&amp;OFFSET('Player Game Board'!Q10,Q6-1,A17),"")</f>
        <v/>
      </c>
      <c r="R17" s="22" t="str">
        <f ca="1">IF(C17&lt;&gt;"",OFFSET('Player Game Board'!P10,R6-1,A17)&amp;" - "&amp;OFFSET('Player Game Board'!Q10,R6-1,A17),"")</f>
        <v/>
      </c>
      <c r="S17" s="22" t="str">
        <f ca="1">IF(C17&lt;&gt;"",OFFSET('Player Game Board'!P10,S6-1,A17)&amp;" - "&amp;OFFSET('Player Game Board'!Q10,S6-1,A17),"")</f>
        <v/>
      </c>
      <c r="T17" s="22" t="str">
        <f ca="1">IF(C17&lt;&gt;"",OFFSET('Player Game Board'!P10,T6-1,A17)&amp;" - "&amp;OFFSET('Player Game Board'!Q10,T6-1,A17),"")</f>
        <v/>
      </c>
      <c r="U17" s="22" t="str">
        <f ca="1">IF(C17&lt;&gt;"",OFFSET('Player Game Board'!P10,U6-1,A17)&amp;" - "&amp;OFFSET('Player Game Board'!Q10,U6-1,A17),"")</f>
        <v/>
      </c>
      <c r="V17" s="22" t="str">
        <f ca="1">IF(C17&lt;&gt;"",OFFSET('Player Game Board'!P10,V6-1,A17)&amp;" - "&amp;OFFSET('Player Game Board'!Q10,V6-1,A17),"")</f>
        <v/>
      </c>
      <c r="W17" s="22" t="str">
        <f ca="1">IF(C17&lt;&gt;"",OFFSET('Player Game Board'!P10,W6-1,A17)&amp;" - "&amp;OFFSET('Player Game Board'!Q10,W6-1,A17),"")</f>
        <v/>
      </c>
      <c r="X17" s="22" t="str">
        <f ca="1">IF(C17&lt;&gt;"",OFFSET('Player Game Board'!P10,X6-1,A17)&amp;" - "&amp;OFFSET('Player Game Board'!Q10,X6-1,A17),"")</f>
        <v/>
      </c>
      <c r="Y17" s="22" t="str">
        <f ca="1">IF(C17&lt;&gt;"",OFFSET('Player Game Board'!P10,Y6-1,A17)&amp;" - "&amp;OFFSET('Player Game Board'!Q10,Y6-1,A17),"")</f>
        <v/>
      </c>
      <c r="Z17" s="22" t="str">
        <f ca="1">IF(C17&lt;&gt;"",OFFSET('Player Game Board'!P10,Z6-1,A17)&amp;" - "&amp;OFFSET('Player Game Board'!Q10,Z6-1,A17),"")</f>
        <v/>
      </c>
      <c r="AA17" s="22" t="str">
        <f ca="1">IF(C17&lt;&gt;"",OFFSET('Player Game Board'!P10,AA6-1,A17)&amp;" - "&amp;OFFSET('Player Game Board'!Q10,AA6-1,A17),"")</f>
        <v/>
      </c>
      <c r="AB17" s="22" t="str">
        <f ca="1">IF(C17&lt;&gt;"",OFFSET('Player Game Board'!P10,AB6-1,A17)&amp;" - "&amp;OFFSET('Player Game Board'!Q10,AB6-1,A17),"")</f>
        <v/>
      </c>
      <c r="AC17" s="22" t="str">
        <f ca="1">IF(C17&lt;&gt;"",OFFSET('Player Game Board'!P10,AC6-1,A17)&amp;" - "&amp;OFFSET('Player Game Board'!Q10,AC6-1,A17),"")</f>
        <v/>
      </c>
      <c r="AD17" s="22" t="str">
        <f ca="1">IF(C17&lt;&gt;"",OFFSET('Player Game Board'!P10,AD6-1,A17)&amp;" - "&amp;OFFSET('Player Game Board'!Q10,AD6-1,A17),"")</f>
        <v/>
      </c>
      <c r="AE17" s="22" t="str">
        <f ca="1">IF(C17&lt;&gt;"",OFFSET('Player Game Board'!P10,AE6-1,A17)&amp;" - "&amp;OFFSET('Player Game Board'!Q10,AE6-1,A17),"")</f>
        <v/>
      </c>
      <c r="AF17" s="22" t="str">
        <f ca="1">IF(C17&lt;&gt;"",OFFSET('Player Game Board'!P10,AF6-1,A17)&amp;" - "&amp;OFFSET('Player Game Board'!Q10,AF6-1,A17),"")</f>
        <v/>
      </c>
      <c r="AG17" s="22" t="str">
        <f ca="1">IF(C17&lt;&gt;"",OFFSET('Player Game Board'!P10,AG6-1,A17)&amp;" - "&amp;OFFSET('Player Game Board'!Q10,AG6-1,A17),"")</f>
        <v/>
      </c>
      <c r="AH17" s="22" t="str">
        <f ca="1">IF(C17&lt;&gt;"",OFFSET('Player Game Board'!P10,AH6-1,A17)&amp;" - "&amp;OFFSET('Player Game Board'!Q10,AH6-1,A17),"")</f>
        <v/>
      </c>
      <c r="AI17" s="22" t="str">
        <f ca="1">IF(C17&lt;&gt;"",OFFSET('Player Game Board'!P10,AI6-1,A17)&amp;" - "&amp;OFFSET('Player Game Board'!Q10,AI6-1,A17),"")</f>
        <v/>
      </c>
      <c r="AJ17" s="22" t="str">
        <f ca="1">IF(C17&lt;&gt;"",OFFSET('Player Game Board'!P10,AJ6-1,A17)&amp;" - "&amp;OFFSET('Player Game Board'!Q10,AJ6-1,A17),"")</f>
        <v/>
      </c>
      <c r="AK17" s="22" t="str">
        <f ca="1">IF(C17&lt;&gt;"",OFFSET('Player Game Board'!P10,AK6-1,A17)&amp;" - "&amp;OFFSET('Player Game Board'!Q10,AK6-1,A17),"")</f>
        <v/>
      </c>
      <c r="AL17" s="22" t="str">
        <f ca="1">IF(C17&lt;&gt;"",OFFSET('Player Game Board'!P10,AL6-1,A17)&amp;" - "&amp;OFFSET('Player Game Board'!Q10,AL6-1,A17),"")</f>
        <v/>
      </c>
      <c r="AM17" s="22" t="str">
        <f ca="1">IF(C17&lt;&gt;"",OFFSET('Player Game Board'!P10,AM6-1,A17)&amp;" - "&amp;OFFSET('Player Game Board'!Q10,AM6-1,A17),"")</f>
        <v/>
      </c>
      <c r="AN17" s="22" t="str">
        <f ca="1">IF(C17&lt;&gt;"",OFFSET('Player Game Board'!P10,AN6-1,A17)&amp;" - "&amp;OFFSET('Player Game Board'!Q10,AN6-1,A17),"")</f>
        <v/>
      </c>
      <c r="AO17" s="22" t="str">
        <f ca="1">IF(C17&lt;&gt;"",OFFSET('Player Game Board'!P10,AO6-1,A17)&amp;" - "&amp;OFFSET('Player Game Board'!Q10,AO6-1,A17),"")</f>
        <v/>
      </c>
      <c r="AP17" s="22" t="str">
        <f ca="1">IF(C17&lt;&gt;"",OFFSET('Player Game Board'!P10,AP6-1,A17)&amp;" - "&amp;OFFSET('Player Game Board'!Q10,AP6-1,A17),"")</f>
        <v/>
      </c>
      <c r="AQ17" s="22" t="str">
        <f ca="1">IF(C17&lt;&gt;"",OFFSET('Player Game Board'!P10,AQ6+14,A17)&amp;" - "&amp;OFFSET('Player Game Board'!Q10,AQ6+14,A17),"")</f>
        <v/>
      </c>
      <c r="AR17" s="22" t="str">
        <f ca="1">IF(C17&lt;&gt;"",OFFSET('Player Game Board'!P10,AR6+14,A17)&amp;" - "&amp;OFFSET('Player Game Board'!Q10,AR6+14,A17),"")</f>
        <v/>
      </c>
      <c r="AS17" s="22" t="str">
        <f ca="1">IF(C17&lt;&gt;"",OFFSET('Player Game Board'!P10,AS6+14,A17)&amp;" - "&amp;OFFSET('Player Game Board'!Q10,AS6+14,A17),"")</f>
        <v/>
      </c>
      <c r="AT17" s="22" t="str">
        <f ca="1">IF(C17&lt;&gt;"",OFFSET('Player Game Board'!P10,AT6+14,A17)&amp;" - "&amp;OFFSET('Player Game Board'!Q10,AT6+14,A17),"")</f>
        <v/>
      </c>
      <c r="AU17" s="22" t="str">
        <f ca="1">IF(C17&lt;&gt;"",OFFSET('Player Game Board'!P10,AU6+14,A17)&amp;" - "&amp;OFFSET('Player Game Board'!Q10,AU6+14,A17),"")</f>
        <v/>
      </c>
      <c r="AV17" s="22" t="str">
        <f ca="1">IF(C17&lt;&gt;"",OFFSET('Player Game Board'!P10,AV6+14,A17)&amp;" - "&amp;OFFSET('Player Game Board'!Q10,AV6+14,A17),"")</f>
        <v/>
      </c>
      <c r="AW17" s="22" t="str">
        <f ca="1">IF(C17&lt;&gt;"",OFFSET('Player Game Board'!P10,AW6+14,A17)&amp;" - "&amp;OFFSET('Player Game Board'!Q10,AW6+14,A17),"")</f>
        <v/>
      </c>
      <c r="AX17" s="22" t="str">
        <f ca="1">IF(C17&lt;&gt;"",OFFSET('Player Game Board'!P10,AX6+14,A17)&amp;" - "&amp;OFFSET('Player Game Board'!Q10,AX6+14,A17),"")</f>
        <v/>
      </c>
      <c r="AY17" s="22" t="str">
        <f ca="1">IF(C17&lt;&gt;"",OFFSET('Player Game Board'!P10,AY6+14,A17)&amp;" - "&amp;OFFSET('Player Game Board'!Q10,AY6+14,A17),"")</f>
        <v/>
      </c>
      <c r="AZ17" s="22" t="str">
        <f ca="1">IF(C17&lt;&gt;"",OFFSET('Player Game Board'!P10,AZ6+14,A17)&amp;" - "&amp;OFFSET('Player Game Board'!Q10,AZ6+14,A17),"")</f>
        <v/>
      </c>
      <c r="BA17" s="22" t="str">
        <f ca="1">IF(C17&lt;&gt;"",OFFSET('Player Game Board'!P10,BA6+14,A17)&amp;" - "&amp;OFFSET('Player Game Board'!Q10,BA6+14,A17),"")</f>
        <v/>
      </c>
      <c r="BB17" s="22" t="str">
        <f ca="1">IF(C17&lt;&gt;"",OFFSET('Player Game Board'!P10,BB6+14,A17)&amp;" - "&amp;OFFSET('Player Game Board'!Q10,BB6+14,A17),"")</f>
        <v/>
      </c>
      <c r="BC17" s="22" t="str">
        <f ca="1">IF(C17&lt;&gt;"",OFFSET('Player Game Board'!P10,BC6+14,A17)&amp;" - "&amp;OFFSET('Player Game Board'!Q10,BC6+14,A17),"")</f>
        <v/>
      </c>
      <c r="BD17" s="22" t="str">
        <f ca="1">IF(C17&lt;&gt;"",OFFSET('Player Game Board'!P10,BD6+14,A17)&amp;" - "&amp;OFFSET('Player Game Board'!Q10,BD6+14,A17),"")</f>
        <v/>
      </c>
      <c r="BE17" s="22" t="str">
        <f ca="1">IF(C17&lt;&gt;"",OFFSET('Player Game Board'!P10,BE6+14,A17)&amp;" - "&amp;OFFSET('Player Game Board'!Q10,BE6+14,A17),"")</f>
        <v/>
      </c>
    </row>
    <row r="18" spans="1:57" ht="14.4" x14ac:dyDescent="0.3">
      <c r="A18" s="133">
        <f t="shared" si="4"/>
        <v>80</v>
      </c>
      <c r="B18" s="29">
        <v>9</v>
      </c>
      <c r="C18" s="272" t="str">
        <f>IF('Player Setup'!C14&lt;&gt;"",'Player Setup'!C14,"")</f>
        <v/>
      </c>
      <c r="D18" s="22">
        <f t="shared" ca="1" si="3"/>
        <v>0</v>
      </c>
      <c r="E18" s="23">
        <f ca="1">IF(C18&lt;&gt;"",OFFSET('Player Game Board'!N9,G6-1,A18),0)</f>
        <v>0</v>
      </c>
      <c r="F18" s="22">
        <f ca="1">IF(C18&lt;&gt;"",OFFSET('Player Game Board'!N52,G6-1,A18),0)</f>
        <v>0</v>
      </c>
      <c r="G18" s="22" t="str">
        <f ca="1">IF(C18&lt;&gt;"",OFFSET('Player Game Board'!P10,G6-1,A18)&amp;" - "&amp;OFFSET('Player Game Board'!Q10,G6-1,A18),"")</f>
        <v/>
      </c>
      <c r="H18" s="22" t="str">
        <f ca="1">IF(C18&lt;&gt;"",OFFSET('Player Game Board'!P10,H6-1,A18)&amp;" - "&amp;OFFSET('Player Game Board'!Q10,H6-1,A18),"")</f>
        <v/>
      </c>
      <c r="I18" s="22" t="str">
        <f ca="1">IF(C18&lt;&gt;"",OFFSET('Player Game Board'!P10,I6-1,A18)&amp;" - "&amp;OFFSET('Player Game Board'!Q10,I6-1,A18),"")</f>
        <v/>
      </c>
      <c r="J18" s="22" t="str">
        <f ca="1">IF(C18&lt;&gt;"",OFFSET('Player Game Board'!P10,J6-1,A18)&amp;" - "&amp;OFFSET('Player Game Board'!Q10,J6-1,A18),"")</f>
        <v/>
      </c>
      <c r="K18" s="22" t="str">
        <f ca="1">IF(C18&lt;&gt;"",OFFSET('Player Game Board'!P10,K6-1,A18)&amp;" - "&amp;OFFSET('Player Game Board'!Q10,K6-1,A18),"")</f>
        <v/>
      </c>
      <c r="L18" s="22" t="str">
        <f ca="1">IF(C18&lt;&gt;"",OFFSET('Player Game Board'!P10,L6-1,A18)&amp;" - "&amp;OFFSET('Player Game Board'!Q10,L6-1,A18),"")</f>
        <v/>
      </c>
      <c r="M18" s="22" t="str">
        <f ca="1">IF(C18&lt;&gt;"",OFFSET('Player Game Board'!P10,M6-1,A18)&amp;" - "&amp;OFFSET('Player Game Board'!Q10,M6-1,A18),"")</f>
        <v/>
      </c>
      <c r="N18" s="22" t="str">
        <f ca="1">IF(C18&lt;&gt;"",OFFSET('Player Game Board'!P10,N6-1,A18)&amp;" - "&amp;OFFSET('Player Game Board'!Q10,N6-1,A18),"")</f>
        <v/>
      </c>
      <c r="O18" s="22" t="str">
        <f ca="1">IF(C18&lt;&gt;"",OFFSET('Player Game Board'!P10,O6-1,A18)&amp;" - "&amp;OFFSET('Player Game Board'!Q10,O6-1,A18),"")</f>
        <v/>
      </c>
      <c r="P18" s="22" t="str">
        <f ca="1">IF(C18&lt;&gt;"",OFFSET('Player Game Board'!P10,P6-1,A18)&amp;" - "&amp;OFFSET('Player Game Board'!Q10,P6-1,A18),"")</f>
        <v/>
      </c>
      <c r="Q18" s="22" t="str">
        <f ca="1">IF(C18&lt;&gt;"",OFFSET('Player Game Board'!P10,Q6-1,A18)&amp;" - "&amp;OFFSET('Player Game Board'!Q10,Q6-1,A18),"")</f>
        <v/>
      </c>
      <c r="R18" s="22" t="str">
        <f ca="1">IF(C18&lt;&gt;"",OFFSET('Player Game Board'!P10,R6-1,A18)&amp;" - "&amp;OFFSET('Player Game Board'!Q10,R6-1,A18),"")</f>
        <v/>
      </c>
      <c r="S18" s="22" t="str">
        <f ca="1">IF(C18&lt;&gt;"",OFFSET('Player Game Board'!P10,S6-1,A18)&amp;" - "&amp;OFFSET('Player Game Board'!Q10,S6-1,A18),"")</f>
        <v/>
      </c>
      <c r="T18" s="22" t="str">
        <f ca="1">IF(C18&lt;&gt;"",OFFSET('Player Game Board'!P10,T6-1,A18)&amp;" - "&amp;OFFSET('Player Game Board'!Q10,T6-1,A18),"")</f>
        <v/>
      </c>
      <c r="U18" s="22" t="str">
        <f ca="1">IF(C18&lt;&gt;"",OFFSET('Player Game Board'!P10,U6-1,A18)&amp;" - "&amp;OFFSET('Player Game Board'!Q10,U6-1,A18),"")</f>
        <v/>
      </c>
      <c r="V18" s="22" t="str">
        <f ca="1">IF(C18&lt;&gt;"",OFFSET('Player Game Board'!P10,V6-1,A18)&amp;" - "&amp;OFFSET('Player Game Board'!Q10,V6-1,A18),"")</f>
        <v/>
      </c>
      <c r="W18" s="22" t="str">
        <f ca="1">IF(C18&lt;&gt;"",OFFSET('Player Game Board'!P10,W6-1,A18)&amp;" - "&amp;OFFSET('Player Game Board'!Q10,W6-1,A18),"")</f>
        <v/>
      </c>
      <c r="X18" s="22" t="str">
        <f ca="1">IF(C18&lt;&gt;"",OFFSET('Player Game Board'!P10,X6-1,A18)&amp;" - "&amp;OFFSET('Player Game Board'!Q10,X6-1,A18),"")</f>
        <v/>
      </c>
      <c r="Y18" s="22" t="str">
        <f ca="1">IF(C18&lt;&gt;"",OFFSET('Player Game Board'!P10,Y6-1,A18)&amp;" - "&amp;OFFSET('Player Game Board'!Q10,Y6-1,A18),"")</f>
        <v/>
      </c>
      <c r="Z18" s="22" t="str">
        <f ca="1">IF(C18&lt;&gt;"",OFFSET('Player Game Board'!P10,Z6-1,A18)&amp;" - "&amp;OFFSET('Player Game Board'!Q10,Z6-1,A18),"")</f>
        <v/>
      </c>
      <c r="AA18" s="22" t="str">
        <f ca="1">IF(C18&lt;&gt;"",OFFSET('Player Game Board'!P10,AA6-1,A18)&amp;" - "&amp;OFFSET('Player Game Board'!Q10,AA6-1,A18),"")</f>
        <v/>
      </c>
      <c r="AB18" s="22" t="str">
        <f ca="1">IF(C18&lt;&gt;"",OFFSET('Player Game Board'!P10,AB6-1,A18)&amp;" - "&amp;OFFSET('Player Game Board'!Q10,AB6-1,A18),"")</f>
        <v/>
      </c>
      <c r="AC18" s="22" t="str">
        <f ca="1">IF(C18&lt;&gt;"",OFFSET('Player Game Board'!P10,AC6-1,A18)&amp;" - "&amp;OFFSET('Player Game Board'!Q10,AC6-1,A18),"")</f>
        <v/>
      </c>
      <c r="AD18" s="22" t="str">
        <f ca="1">IF(C18&lt;&gt;"",OFFSET('Player Game Board'!P10,AD6-1,A18)&amp;" - "&amp;OFFSET('Player Game Board'!Q10,AD6-1,A18),"")</f>
        <v/>
      </c>
      <c r="AE18" s="22" t="str">
        <f ca="1">IF(C18&lt;&gt;"",OFFSET('Player Game Board'!P10,AE6-1,A18)&amp;" - "&amp;OFFSET('Player Game Board'!Q10,AE6-1,A18),"")</f>
        <v/>
      </c>
      <c r="AF18" s="22" t="str">
        <f ca="1">IF(C18&lt;&gt;"",OFFSET('Player Game Board'!P10,AF6-1,A18)&amp;" - "&amp;OFFSET('Player Game Board'!Q10,AF6-1,A18),"")</f>
        <v/>
      </c>
      <c r="AG18" s="22" t="str">
        <f ca="1">IF(C18&lt;&gt;"",OFFSET('Player Game Board'!P10,AG6-1,A18)&amp;" - "&amp;OFFSET('Player Game Board'!Q10,AG6-1,A18),"")</f>
        <v/>
      </c>
      <c r="AH18" s="22" t="str">
        <f ca="1">IF(C18&lt;&gt;"",OFFSET('Player Game Board'!P10,AH6-1,A18)&amp;" - "&amp;OFFSET('Player Game Board'!Q10,AH6-1,A18),"")</f>
        <v/>
      </c>
      <c r="AI18" s="22" t="str">
        <f ca="1">IF(C18&lt;&gt;"",OFFSET('Player Game Board'!P10,AI6-1,A18)&amp;" - "&amp;OFFSET('Player Game Board'!Q10,AI6-1,A18),"")</f>
        <v/>
      </c>
      <c r="AJ18" s="22" t="str">
        <f ca="1">IF(C18&lt;&gt;"",OFFSET('Player Game Board'!P10,AJ6-1,A18)&amp;" - "&amp;OFFSET('Player Game Board'!Q10,AJ6-1,A18),"")</f>
        <v/>
      </c>
      <c r="AK18" s="22" t="str">
        <f ca="1">IF(C18&lt;&gt;"",OFFSET('Player Game Board'!P10,AK6-1,A18)&amp;" - "&amp;OFFSET('Player Game Board'!Q10,AK6-1,A18),"")</f>
        <v/>
      </c>
      <c r="AL18" s="22" t="str">
        <f ca="1">IF(C18&lt;&gt;"",OFFSET('Player Game Board'!P10,AL6-1,A18)&amp;" - "&amp;OFFSET('Player Game Board'!Q10,AL6-1,A18),"")</f>
        <v/>
      </c>
      <c r="AM18" s="22" t="str">
        <f ca="1">IF(C18&lt;&gt;"",OFFSET('Player Game Board'!P10,AM6-1,A18)&amp;" - "&amp;OFFSET('Player Game Board'!Q10,AM6-1,A18),"")</f>
        <v/>
      </c>
      <c r="AN18" s="22" t="str">
        <f ca="1">IF(C18&lt;&gt;"",OFFSET('Player Game Board'!P10,AN6-1,A18)&amp;" - "&amp;OFFSET('Player Game Board'!Q10,AN6-1,A18),"")</f>
        <v/>
      </c>
      <c r="AO18" s="22" t="str">
        <f ca="1">IF(C18&lt;&gt;"",OFFSET('Player Game Board'!P10,AO6-1,A18)&amp;" - "&amp;OFFSET('Player Game Board'!Q10,AO6-1,A18),"")</f>
        <v/>
      </c>
      <c r="AP18" s="22" t="str">
        <f ca="1">IF(C18&lt;&gt;"",OFFSET('Player Game Board'!P10,AP6-1,A18)&amp;" - "&amp;OFFSET('Player Game Board'!Q10,AP6-1,A18),"")</f>
        <v/>
      </c>
      <c r="AQ18" s="22" t="str">
        <f ca="1">IF(C18&lt;&gt;"",OFFSET('Player Game Board'!P10,AQ6+14,A18)&amp;" - "&amp;OFFSET('Player Game Board'!Q10,AQ6+14,A18),"")</f>
        <v/>
      </c>
      <c r="AR18" s="22" t="str">
        <f ca="1">IF(C18&lt;&gt;"",OFFSET('Player Game Board'!P10,AR6+14,A18)&amp;" - "&amp;OFFSET('Player Game Board'!Q10,AR6+14,A18),"")</f>
        <v/>
      </c>
      <c r="AS18" s="22" t="str">
        <f ca="1">IF(C18&lt;&gt;"",OFFSET('Player Game Board'!P10,AS6+14,A18)&amp;" - "&amp;OFFSET('Player Game Board'!Q10,AS6+14,A18),"")</f>
        <v/>
      </c>
      <c r="AT18" s="22" t="str">
        <f ca="1">IF(C18&lt;&gt;"",OFFSET('Player Game Board'!P10,AT6+14,A18)&amp;" - "&amp;OFFSET('Player Game Board'!Q10,AT6+14,A18),"")</f>
        <v/>
      </c>
      <c r="AU18" s="22" t="str">
        <f ca="1">IF(C18&lt;&gt;"",OFFSET('Player Game Board'!P10,AU6+14,A18)&amp;" - "&amp;OFFSET('Player Game Board'!Q10,AU6+14,A18),"")</f>
        <v/>
      </c>
      <c r="AV18" s="22" t="str">
        <f ca="1">IF(C18&lt;&gt;"",OFFSET('Player Game Board'!P10,AV6+14,A18)&amp;" - "&amp;OFFSET('Player Game Board'!Q10,AV6+14,A18),"")</f>
        <v/>
      </c>
      <c r="AW18" s="22" t="str">
        <f ca="1">IF(C18&lt;&gt;"",OFFSET('Player Game Board'!P10,AW6+14,A18)&amp;" - "&amp;OFFSET('Player Game Board'!Q10,AW6+14,A18),"")</f>
        <v/>
      </c>
      <c r="AX18" s="22" t="str">
        <f ca="1">IF(C18&lt;&gt;"",OFFSET('Player Game Board'!P10,AX6+14,A18)&amp;" - "&amp;OFFSET('Player Game Board'!Q10,AX6+14,A18),"")</f>
        <v/>
      </c>
      <c r="AY18" s="22" t="str">
        <f ca="1">IF(C18&lt;&gt;"",OFFSET('Player Game Board'!P10,AY6+14,A18)&amp;" - "&amp;OFFSET('Player Game Board'!Q10,AY6+14,A18),"")</f>
        <v/>
      </c>
      <c r="AZ18" s="22" t="str">
        <f ca="1">IF(C18&lt;&gt;"",OFFSET('Player Game Board'!P10,AZ6+14,A18)&amp;" - "&amp;OFFSET('Player Game Board'!Q10,AZ6+14,A18),"")</f>
        <v/>
      </c>
      <c r="BA18" s="22" t="str">
        <f ca="1">IF(C18&lt;&gt;"",OFFSET('Player Game Board'!P10,BA6+14,A18)&amp;" - "&amp;OFFSET('Player Game Board'!Q10,BA6+14,A18),"")</f>
        <v/>
      </c>
      <c r="BB18" s="22" t="str">
        <f ca="1">IF(C18&lt;&gt;"",OFFSET('Player Game Board'!P10,BB6+14,A18)&amp;" - "&amp;OFFSET('Player Game Board'!Q10,BB6+14,A18),"")</f>
        <v/>
      </c>
      <c r="BC18" s="22" t="str">
        <f ca="1">IF(C18&lt;&gt;"",OFFSET('Player Game Board'!P10,BC6+14,A18)&amp;" - "&amp;OFFSET('Player Game Board'!Q10,BC6+14,A18),"")</f>
        <v/>
      </c>
      <c r="BD18" s="22" t="str">
        <f ca="1">IF(C18&lt;&gt;"",OFFSET('Player Game Board'!P10,BD6+14,A18)&amp;" - "&amp;OFFSET('Player Game Board'!Q10,BD6+14,A18),"")</f>
        <v/>
      </c>
      <c r="BE18" s="22" t="str">
        <f ca="1">IF(C18&lt;&gt;"",OFFSET('Player Game Board'!P10,BE6+14,A18)&amp;" - "&amp;OFFSET('Player Game Board'!Q10,BE6+14,A18),"")</f>
        <v/>
      </c>
    </row>
    <row r="19" spans="1:57" ht="14.4" x14ac:dyDescent="0.3">
      <c r="A19" s="133">
        <f t="shared" si="4"/>
        <v>90</v>
      </c>
      <c r="B19" s="29">
        <v>10</v>
      </c>
      <c r="C19" s="272" t="str">
        <f>IF('Player Setup'!C15&lt;&gt;"",'Player Setup'!C15,"")</f>
        <v/>
      </c>
      <c r="D19" s="22">
        <f t="shared" ca="1" si="3"/>
        <v>0</v>
      </c>
      <c r="E19" s="23">
        <f ca="1">IF(C19&lt;&gt;"",OFFSET('Player Game Board'!N9,G6-1,A19),0)</f>
        <v>0</v>
      </c>
      <c r="F19" s="22">
        <f ca="1">IF(C19&lt;&gt;"",OFFSET('Player Game Board'!N52,G6-1,A19),0)</f>
        <v>0</v>
      </c>
      <c r="G19" s="22" t="str">
        <f ca="1">IF(C19&lt;&gt;"",OFFSET('Player Game Board'!P10,G6-1,A19)&amp;" - "&amp;OFFSET('Player Game Board'!Q10,G6-1,A19),"")</f>
        <v/>
      </c>
      <c r="H19" s="22" t="str">
        <f ca="1">IF(C19&lt;&gt;"",OFFSET('Player Game Board'!P10,H6-1,A19)&amp;" - "&amp;OFFSET('Player Game Board'!Q10,H6-1,A19),"")</f>
        <v/>
      </c>
      <c r="I19" s="22" t="str">
        <f ca="1">IF(C19&lt;&gt;"",OFFSET('Player Game Board'!P10,I6-1,A19)&amp;" - "&amp;OFFSET('Player Game Board'!Q10,I6-1,A19),"")</f>
        <v/>
      </c>
      <c r="J19" s="22" t="str">
        <f ca="1">IF(C19&lt;&gt;"",OFFSET('Player Game Board'!P10,J6-1,A19)&amp;" - "&amp;OFFSET('Player Game Board'!Q10,J6-1,A19),"")</f>
        <v/>
      </c>
      <c r="K19" s="22" t="str">
        <f ca="1">IF(C19&lt;&gt;"",OFFSET('Player Game Board'!P10,K6-1,A19)&amp;" - "&amp;OFFSET('Player Game Board'!Q10,K6-1,A19),"")</f>
        <v/>
      </c>
      <c r="L19" s="22" t="str">
        <f ca="1">IF(C19&lt;&gt;"",OFFSET('Player Game Board'!P10,L6-1,A19)&amp;" - "&amp;OFFSET('Player Game Board'!Q10,L6-1,A19),"")</f>
        <v/>
      </c>
      <c r="M19" s="22" t="str">
        <f ca="1">IF(C19&lt;&gt;"",OFFSET('Player Game Board'!P10,M6-1,A19)&amp;" - "&amp;OFFSET('Player Game Board'!Q10,M6-1,A19),"")</f>
        <v/>
      </c>
      <c r="N19" s="22" t="str">
        <f ca="1">IF(C19&lt;&gt;"",OFFSET('Player Game Board'!P10,N6-1,A19)&amp;" - "&amp;OFFSET('Player Game Board'!Q10,N6-1,A19),"")</f>
        <v/>
      </c>
      <c r="O19" s="22" t="str">
        <f ca="1">IF(C19&lt;&gt;"",OFFSET('Player Game Board'!P10,O6-1,A19)&amp;" - "&amp;OFFSET('Player Game Board'!Q10,O6-1,A19),"")</f>
        <v/>
      </c>
      <c r="P19" s="22" t="str">
        <f ca="1">IF(C19&lt;&gt;"",OFFSET('Player Game Board'!P10,P6-1,A19)&amp;" - "&amp;OFFSET('Player Game Board'!Q10,P6-1,A19),"")</f>
        <v/>
      </c>
      <c r="Q19" s="22" t="str">
        <f ca="1">IF(C19&lt;&gt;"",OFFSET('Player Game Board'!P10,Q6-1,A19)&amp;" - "&amp;OFFSET('Player Game Board'!Q10,Q6-1,A19),"")</f>
        <v/>
      </c>
      <c r="R19" s="22" t="str">
        <f ca="1">IF(C19&lt;&gt;"",OFFSET('Player Game Board'!P10,R6-1,A19)&amp;" - "&amp;OFFSET('Player Game Board'!Q10,R6-1,A19),"")</f>
        <v/>
      </c>
      <c r="S19" s="22" t="str">
        <f ca="1">IF(C19&lt;&gt;"",OFFSET('Player Game Board'!P10,S6-1,A19)&amp;" - "&amp;OFFSET('Player Game Board'!Q10,S6-1,A19),"")</f>
        <v/>
      </c>
      <c r="T19" s="22" t="str">
        <f ca="1">IF(C19&lt;&gt;"",OFFSET('Player Game Board'!P10,T6-1,A19)&amp;" - "&amp;OFFSET('Player Game Board'!Q10,T6-1,A19),"")</f>
        <v/>
      </c>
      <c r="U19" s="22" t="str">
        <f ca="1">IF(C19&lt;&gt;"",OFFSET('Player Game Board'!P10,U6-1,A19)&amp;" - "&amp;OFFSET('Player Game Board'!Q10,U6-1,A19),"")</f>
        <v/>
      </c>
      <c r="V19" s="22" t="str">
        <f ca="1">IF(C19&lt;&gt;"",OFFSET('Player Game Board'!P10,V6-1,A19)&amp;" - "&amp;OFFSET('Player Game Board'!Q10,V6-1,A19),"")</f>
        <v/>
      </c>
      <c r="W19" s="22" t="str">
        <f ca="1">IF(C19&lt;&gt;"",OFFSET('Player Game Board'!P10,W6-1,A19)&amp;" - "&amp;OFFSET('Player Game Board'!Q10,W6-1,A19),"")</f>
        <v/>
      </c>
      <c r="X19" s="22" t="str">
        <f ca="1">IF(C19&lt;&gt;"",OFFSET('Player Game Board'!P10,X6-1,A19)&amp;" - "&amp;OFFSET('Player Game Board'!Q10,X6-1,A19),"")</f>
        <v/>
      </c>
      <c r="Y19" s="22" t="str">
        <f ca="1">IF(C19&lt;&gt;"",OFFSET('Player Game Board'!P10,Y6-1,A19)&amp;" - "&amp;OFFSET('Player Game Board'!Q10,Y6-1,A19),"")</f>
        <v/>
      </c>
      <c r="Z19" s="22" t="str">
        <f ca="1">IF(C19&lt;&gt;"",OFFSET('Player Game Board'!P10,Z6-1,A19)&amp;" - "&amp;OFFSET('Player Game Board'!Q10,Z6-1,A19),"")</f>
        <v/>
      </c>
      <c r="AA19" s="22" t="str">
        <f ca="1">IF(C19&lt;&gt;"",OFFSET('Player Game Board'!P10,AA6-1,A19)&amp;" - "&amp;OFFSET('Player Game Board'!Q10,AA6-1,A19),"")</f>
        <v/>
      </c>
      <c r="AB19" s="22" t="str">
        <f ca="1">IF(C19&lt;&gt;"",OFFSET('Player Game Board'!P10,AB6-1,A19)&amp;" - "&amp;OFFSET('Player Game Board'!Q10,AB6-1,A19),"")</f>
        <v/>
      </c>
      <c r="AC19" s="22" t="str">
        <f ca="1">IF(C19&lt;&gt;"",OFFSET('Player Game Board'!P10,AC6-1,A19)&amp;" - "&amp;OFFSET('Player Game Board'!Q10,AC6-1,A19),"")</f>
        <v/>
      </c>
      <c r="AD19" s="22" t="str">
        <f ca="1">IF(C19&lt;&gt;"",OFFSET('Player Game Board'!P10,AD6-1,A19)&amp;" - "&amp;OFFSET('Player Game Board'!Q10,AD6-1,A19),"")</f>
        <v/>
      </c>
      <c r="AE19" s="22" t="str">
        <f ca="1">IF(C19&lt;&gt;"",OFFSET('Player Game Board'!P10,AE6-1,A19)&amp;" - "&amp;OFFSET('Player Game Board'!Q10,AE6-1,A19),"")</f>
        <v/>
      </c>
      <c r="AF19" s="22" t="str">
        <f ca="1">IF(C19&lt;&gt;"",OFFSET('Player Game Board'!P10,AF6-1,A19)&amp;" - "&amp;OFFSET('Player Game Board'!Q10,AF6-1,A19),"")</f>
        <v/>
      </c>
      <c r="AG19" s="22" t="str">
        <f ca="1">IF(C19&lt;&gt;"",OFFSET('Player Game Board'!P10,AG6-1,A19)&amp;" - "&amp;OFFSET('Player Game Board'!Q10,AG6-1,A19),"")</f>
        <v/>
      </c>
      <c r="AH19" s="22" t="str">
        <f ca="1">IF(C19&lt;&gt;"",OFFSET('Player Game Board'!P10,AH6-1,A19)&amp;" - "&amp;OFFSET('Player Game Board'!Q10,AH6-1,A19),"")</f>
        <v/>
      </c>
      <c r="AI19" s="22" t="str">
        <f ca="1">IF(C19&lt;&gt;"",OFFSET('Player Game Board'!P10,AI6-1,A19)&amp;" - "&amp;OFFSET('Player Game Board'!Q10,AI6-1,A19),"")</f>
        <v/>
      </c>
      <c r="AJ19" s="22" t="str">
        <f ca="1">IF(C19&lt;&gt;"",OFFSET('Player Game Board'!P10,AJ6-1,A19)&amp;" - "&amp;OFFSET('Player Game Board'!Q10,AJ6-1,A19),"")</f>
        <v/>
      </c>
      <c r="AK19" s="22" t="str">
        <f ca="1">IF(C19&lt;&gt;"",OFFSET('Player Game Board'!P10,AK6-1,A19)&amp;" - "&amp;OFFSET('Player Game Board'!Q10,AK6-1,A19),"")</f>
        <v/>
      </c>
      <c r="AL19" s="22" t="str">
        <f ca="1">IF(C19&lt;&gt;"",OFFSET('Player Game Board'!P10,AL6-1,A19)&amp;" - "&amp;OFFSET('Player Game Board'!Q10,AL6-1,A19),"")</f>
        <v/>
      </c>
      <c r="AM19" s="22" t="str">
        <f ca="1">IF(C19&lt;&gt;"",OFFSET('Player Game Board'!P10,AM6-1,A19)&amp;" - "&amp;OFFSET('Player Game Board'!Q10,AM6-1,A19),"")</f>
        <v/>
      </c>
      <c r="AN19" s="22" t="str">
        <f ca="1">IF(C19&lt;&gt;"",OFFSET('Player Game Board'!P10,AN6-1,A19)&amp;" - "&amp;OFFSET('Player Game Board'!Q10,AN6-1,A19),"")</f>
        <v/>
      </c>
      <c r="AO19" s="22" t="str">
        <f ca="1">IF(C19&lt;&gt;"",OFFSET('Player Game Board'!P10,AO6-1,A19)&amp;" - "&amp;OFFSET('Player Game Board'!Q10,AO6-1,A19),"")</f>
        <v/>
      </c>
      <c r="AP19" s="22" t="str">
        <f ca="1">IF(C19&lt;&gt;"",OFFSET('Player Game Board'!P10,AP6-1,A19)&amp;" - "&amp;OFFSET('Player Game Board'!Q10,AP6-1,A19),"")</f>
        <v/>
      </c>
      <c r="AQ19" s="22" t="str">
        <f ca="1">IF(C19&lt;&gt;"",OFFSET('Player Game Board'!P10,AQ6+14,A19)&amp;" - "&amp;OFFSET('Player Game Board'!Q10,AQ6+14,A19),"")</f>
        <v/>
      </c>
      <c r="AR19" s="22" t="str">
        <f ca="1">IF(C19&lt;&gt;"",OFFSET('Player Game Board'!P10,AR6+14,A19)&amp;" - "&amp;OFFSET('Player Game Board'!Q10,AR6+14,A19),"")</f>
        <v/>
      </c>
      <c r="AS19" s="22" t="str">
        <f ca="1">IF(C19&lt;&gt;"",OFFSET('Player Game Board'!P10,AS6+14,A19)&amp;" - "&amp;OFFSET('Player Game Board'!Q10,AS6+14,A19),"")</f>
        <v/>
      </c>
      <c r="AT19" s="22" t="str">
        <f ca="1">IF(C19&lt;&gt;"",OFFSET('Player Game Board'!P10,AT6+14,A19)&amp;" - "&amp;OFFSET('Player Game Board'!Q10,AT6+14,A19),"")</f>
        <v/>
      </c>
      <c r="AU19" s="22" t="str">
        <f ca="1">IF(C19&lt;&gt;"",OFFSET('Player Game Board'!P10,AU6+14,A19)&amp;" - "&amp;OFFSET('Player Game Board'!Q10,AU6+14,A19),"")</f>
        <v/>
      </c>
      <c r="AV19" s="22" t="str">
        <f ca="1">IF(C19&lt;&gt;"",OFFSET('Player Game Board'!P10,AV6+14,A19)&amp;" - "&amp;OFFSET('Player Game Board'!Q10,AV6+14,A19),"")</f>
        <v/>
      </c>
      <c r="AW19" s="22" t="str">
        <f ca="1">IF(C19&lt;&gt;"",OFFSET('Player Game Board'!P10,AW6+14,A19)&amp;" - "&amp;OFFSET('Player Game Board'!Q10,AW6+14,A19),"")</f>
        <v/>
      </c>
      <c r="AX19" s="22" t="str">
        <f ca="1">IF(C19&lt;&gt;"",OFFSET('Player Game Board'!P10,AX6+14,A19)&amp;" - "&amp;OFFSET('Player Game Board'!Q10,AX6+14,A19),"")</f>
        <v/>
      </c>
      <c r="AY19" s="22" t="str">
        <f ca="1">IF(C19&lt;&gt;"",OFFSET('Player Game Board'!P10,AY6+14,A19)&amp;" - "&amp;OFFSET('Player Game Board'!Q10,AY6+14,A19),"")</f>
        <v/>
      </c>
      <c r="AZ19" s="22" t="str">
        <f ca="1">IF(C19&lt;&gt;"",OFFSET('Player Game Board'!P10,AZ6+14,A19)&amp;" - "&amp;OFFSET('Player Game Board'!Q10,AZ6+14,A19),"")</f>
        <v/>
      </c>
      <c r="BA19" s="22" t="str">
        <f ca="1">IF(C19&lt;&gt;"",OFFSET('Player Game Board'!P10,BA6+14,A19)&amp;" - "&amp;OFFSET('Player Game Board'!Q10,BA6+14,A19),"")</f>
        <v/>
      </c>
      <c r="BB19" s="22" t="str">
        <f ca="1">IF(C19&lt;&gt;"",OFFSET('Player Game Board'!P10,BB6+14,A19)&amp;" - "&amp;OFFSET('Player Game Board'!Q10,BB6+14,A19),"")</f>
        <v/>
      </c>
      <c r="BC19" s="22" t="str">
        <f ca="1">IF(C19&lt;&gt;"",OFFSET('Player Game Board'!P10,BC6+14,A19)&amp;" - "&amp;OFFSET('Player Game Board'!Q10,BC6+14,A19),"")</f>
        <v/>
      </c>
      <c r="BD19" s="22" t="str">
        <f ca="1">IF(C19&lt;&gt;"",OFFSET('Player Game Board'!P10,BD6+14,A19)&amp;" - "&amp;OFFSET('Player Game Board'!Q10,BD6+14,A19),"")</f>
        <v/>
      </c>
      <c r="BE19" s="22" t="str">
        <f ca="1">IF(C19&lt;&gt;"",OFFSET('Player Game Board'!P10,BE6+14,A19)&amp;" - "&amp;OFFSET('Player Game Board'!Q10,BE6+14,A19),"")</f>
        <v/>
      </c>
    </row>
    <row r="20" spans="1:57" x14ac:dyDescent="0.3">
      <c r="B20" s="9" t="s">
        <v>179</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baseColWidth="10" defaultColWidth="8.77734375" defaultRowHeight="14.4" x14ac:dyDescent="0.25"/>
  <cols>
    <col min="1" max="1" width="2.44140625" style="3" customWidth="1"/>
    <col min="2" max="2" width="3.109375" style="3" bestFit="1" customWidth="1"/>
    <col min="3" max="3" width="36.77734375" style="3" customWidth="1"/>
    <col min="4" max="4" width="3.44140625" style="189" customWidth="1"/>
    <col min="5" max="5" width="59" style="3" bestFit="1" customWidth="1"/>
    <col min="6" max="16384" width="8.77734375" style="3"/>
  </cols>
  <sheetData>
    <row r="1" spans="2:8" s="13" customFormat="1" ht="7.2" customHeight="1" x14ac:dyDescent="0.25">
      <c r="D1" s="185"/>
    </row>
    <row r="2" spans="2:8" s="4" customFormat="1" ht="7.2" customHeight="1" x14ac:dyDescent="0.25">
      <c r="D2" s="186"/>
    </row>
    <row r="3" spans="2:8" s="4" customFormat="1" ht="30" customHeight="1" x14ac:dyDescent="0.25">
      <c r="B3" s="18" t="s">
        <v>180</v>
      </c>
      <c r="C3" s="18"/>
      <c r="D3" s="187"/>
      <c r="E3" s="15"/>
      <c r="F3" s="15"/>
      <c r="G3" s="15"/>
      <c r="H3" s="15"/>
    </row>
    <row r="4" spans="2:8" s="4" customFormat="1" ht="4.95" customHeight="1" x14ac:dyDescent="0.25">
      <c r="B4" s="18"/>
      <c r="C4" s="18"/>
      <c r="D4" s="187"/>
      <c r="E4" s="15"/>
      <c r="F4" s="15"/>
      <c r="G4" s="15"/>
      <c r="H4" s="15"/>
    </row>
    <row r="5" spans="2:8" ht="15" customHeight="1" x14ac:dyDescent="0.25">
      <c r="B5" s="138" t="s">
        <v>181</v>
      </c>
      <c r="C5" s="138"/>
    </row>
    <row r="6" spans="2:8" ht="15" customHeight="1" x14ac:dyDescent="0.25">
      <c r="B6" s="137">
        <v>1</v>
      </c>
      <c r="C6" s="39" t="s">
        <v>182</v>
      </c>
      <c r="D6" s="188" t="s">
        <v>14</v>
      </c>
      <c r="E6" s="409" t="s">
        <v>183</v>
      </c>
    </row>
    <row r="7" spans="2:8" ht="15" customHeight="1" x14ac:dyDescent="0.25">
      <c r="B7" s="137">
        <v>2</v>
      </c>
      <c r="C7" s="39" t="s">
        <v>184</v>
      </c>
      <c r="E7" s="409"/>
    </row>
    <row r="8" spans="2:8" ht="15" customHeight="1" x14ac:dyDescent="0.25">
      <c r="B8" s="137">
        <v>3</v>
      </c>
      <c r="C8" s="39" t="s">
        <v>185</v>
      </c>
      <c r="E8" s="409"/>
    </row>
    <row r="9" spans="2:8" ht="15" customHeight="1" x14ac:dyDescent="0.25">
      <c r="B9" s="137">
        <v>4</v>
      </c>
      <c r="C9" s="39" t="s">
        <v>186</v>
      </c>
      <c r="E9" s="409"/>
    </row>
    <row r="10" spans="2:8" ht="15" customHeight="1" x14ac:dyDescent="0.25">
      <c r="B10" s="137">
        <v>5</v>
      </c>
      <c r="C10" s="39" t="s">
        <v>187</v>
      </c>
      <c r="E10" s="409"/>
    </row>
    <row r="11" spans="2:8" ht="15" customHeight="1" x14ac:dyDescent="0.25">
      <c r="B11" s="137">
        <v>6</v>
      </c>
      <c r="C11" s="39" t="s">
        <v>188</v>
      </c>
      <c r="E11" s="409"/>
    </row>
    <row r="12" spans="2:8" ht="15" customHeight="1" x14ac:dyDescent="0.25">
      <c r="B12" s="137">
        <v>7</v>
      </c>
      <c r="C12" s="39" t="s">
        <v>189</v>
      </c>
      <c r="E12" s="409"/>
    </row>
    <row r="13" spans="2:8" ht="15" customHeight="1" x14ac:dyDescent="0.25">
      <c r="B13" s="137">
        <v>8</v>
      </c>
      <c r="C13" s="39" t="s">
        <v>190</v>
      </c>
      <c r="E13" s="409"/>
    </row>
    <row r="14" spans="2:8" ht="15" customHeight="1" x14ac:dyDescent="0.25">
      <c r="B14" s="137">
        <v>9</v>
      </c>
      <c r="C14" s="39" t="s">
        <v>191</v>
      </c>
      <c r="E14" s="409"/>
    </row>
    <row r="15" spans="2:8" ht="15" customHeight="1" x14ac:dyDescent="0.25">
      <c r="B15" s="137">
        <v>10</v>
      </c>
      <c r="C15" s="39" t="s">
        <v>192</v>
      </c>
    </row>
    <row r="16" spans="2:8" ht="15" customHeight="1" x14ac:dyDescent="0.25">
      <c r="B16" s="137">
        <v>11</v>
      </c>
      <c r="C16" s="39" t="s">
        <v>193</v>
      </c>
    </row>
    <row r="17" spans="2:3" ht="15" customHeight="1" x14ac:dyDescent="0.25">
      <c r="B17" s="137">
        <v>12</v>
      </c>
      <c r="C17" s="39" t="s">
        <v>194</v>
      </c>
    </row>
    <row r="18" spans="2:3" ht="15" customHeight="1" x14ac:dyDescent="0.25">
      <c r="B18" s="137">
        <v>13</v>
      </c>
      <c r="C18" s="39" t="s">
        <v>195</v>
      </c>
    </row>
    <row r="19" spans="2:3" ht="15" customHeight="1" x14ac:dyDescent="0.25">
      <c r="B19" s="137">
        <v>14</v>
      </c>
      <c r="C19" s="39" t="s">
        <v>196</v>
      </c>
    </row>
    <row r="20" spans="2:3" ht="15" customHeight="1" x14ac:dyDescent="0.25">
      <c r="B20" s="137">
        <v>15</v>
      </c>
      <c r="C20" s="39" t="s">
        <v>197</v>
      </c>
    </row>
    <row r="21" spans="2:3" ht="15" customHeight="1" x14ac:dyDescent="0.25">
      <c r="B21" s="137">
        <v>16</v>
      </c>
      <c r="C21" s="39" t="s">
        <v>198</v>
      </c>
    </row>
    <row r="22" spans="2:3" ht="15" customHeight="1" x14ac:dyDescent="0.25">
      <c r="B22" s="137">
        <v>17</v>
      </c>
      <c r="C22" s="39" t="s">
        <v>199</v>
      </c>
    </row>
    <row r="23" spans="2:3" ht="15" customHeight="1" x14ac:dyDescent="0.25">
      <c r="B23" s="137">
        <v>18</v>
      </c>
      <c r="C23" s="39" t="s">
        <v>200</v>
      </c>
    </row>
    <row r="24" spans="2:3" ht="15" customHeight="1" x14ac:dyDescent="0.25">
      <c r="B24" s="137">
        <v>19</v>
      </c>
      <c r="C24" s="39" t="s">
        <v>201</v>
      </c>
    </row>
    <row r="25" spans="2:3" ht="15" customHeight="1" x14ac:dyDescent="0.25">
      <c r="B25" s="137">
        <v>20</v>
      </c>
      <c r="C25" s="39" t="s">
        <v>202</v>
      </c>
    </row>
    <row r="26" spans="2:3" ht="15" customHeight="1" x14ac:dyDescent="0.25">
      <c r="B26" s="137">
        <v>21</v>
      </c>
      <c r="C26" s="39" t="s">
        <v>203</v>
      </c>
    </row>
    <row r="27" spans="2:3" ht="15" customHeight="1" x14ac:dyDescent="0.25">
      <c r="B27" s="137">
        <v>22</v>
      </c>
      <c r="C27" s="39" t="s">
        <v>204</v>
      </c>
    </row>
    <row r="28" spans="2:3" ht="15" customHeight="1" x14ac:dyDescent="0.25">
      <c r="B28" s="137">
        <v>23</v>
      </c>
      <c r="C28" s="39" t="s">
        <v>205</v>
      </c>
    </row>
    <row r="29" spans="2:3" ht="15" customHeight="1" x14ac:dyDescent="0.25">
      <c r="B29" s="137">
        <v>24</v>
      </c>
      <c r="C29" s="39" t="s">
        <v>206</v>
      </c>
    </row>
    <row r="30" spans="2:3" ht="15" customHeight="1" x14ac:dyDescent="0.25">
      <c r="B30" s="137">
        <v>25</v>
      </c>
      <c r="C30" s="39" t="s">
        <v>181</v>
      </c>
    </row>
    <row r="31" spans="2:3" ht="15" customHeight="1" x14ac:dyDescent="0.25">
      <c r="B31" s="137">
        <v>26</v>
      </c>
      <c r="C31" s="39" t="s">
        <v>207</v>
      </c>
    </row>
    <row r="32" spans="2:3" ht="15" customHeight="1" x14ac:dyDescent="0.25">
      <c r="B32" s="137">
        <v>27</v>
      </c>
      <c r="C32" s="39" t="s">
        <v>167</v>
      </c>
    </row>
    <row r="33" spans="2:3" ht="15" customHeight="1" x14ac:dyDescent="0.25">
      <c r="B33" s="137">
        <v>28</v>
      </c>
      <c r="C33" s="39" t="s">
        <v>208</v>
      </c>
    </row>
    <row r="34" spans="2:3" ht="15" customHeight="1" x14ac:dyDescent="0.25">
      <c r="B34" s="137">
        <v>29</v>
      </c>
      <c r="C34" s="39" t="s">
        <v>209</v>
      </c>
    </row>
    <row r="35" spans="2:3" ht="15" customHeight="1" x14ac:dyDescent="0.25">
      <c r="B35" s="137">
        <v>30</v>
      </c>
      <c r="C35" s="39" t="s">
        <v>177</v>
      </c>
    </row>
    <row r="36" spans="2:3" ht="15" customHeight="1" x14ac:dyDescent="0.25">
      <c r="B36" s="137">
        <v>31</v>
      </c>
      <c r="C36" s="39" t="s">
        <v>210</v>
      </c>
    </row>
    <row r="37" spans="2:3" ht="15" customHeight="1" x14ac:dyDescent="0.25">
      <c r="B37" s="137">
        <v>32</v>
      </c>
      <c r="C37" s="39" t="s">
        <v>211</v>
      </c>
    </row>
    <row r="38" spans="2:3" ht="15" customHeight="1" x14ac:dyDescent="0.25">
      <c r="B38" s="137">
        <v>33</v>
      </c>
      <c r="C38" s="39" t="s">
        <v>100</v>
      </c>
    </row>
    <row r="39" spans="2:3" ht="15" customHeight="1" x14ac:dyDescent="0.25">
      <c r="B39" s="137">
        <v>34</v>
      </c>
      <c r="C39" s="39" t="s">
        <v>212</v>
      </c>
    </row>
    <row r="40" spans="2:3" ht="15" customHeight="1" x14ac:dyDescent="0.25">
      <c r="B40" s="137">
        <v>35</v>
      </c>
      <c r="C40" s="39" t="s">
        <v>160</v>
      </c>
    </row>
    <row r="41" spans="2:3" ht="15" customHeight="1" x14ac:dyDescent="0.25">
      <c r="B41" s="137">
        <v>36</v>
      </c>
      <c r="C41" s="39" t="s">
        <v>213</v>
      </c>
    </row>
    <row r="42" spans="2:3" ht="15" customHeight="1" x14ac:dyDescent="0.25">
      <c r="B42" s="137">
        <v>37</v>
      </c>
      <c r="C42" s="39" t="s">
        <v>214</v>
      </c>
    </row>
    <row r="43" spans="2:3" ht="15" customHeight="1" x14ac:dyDescent="0.25">
      <c r="B43" s="137">
        <v>38</v>
      </c>
      <c r="C43" s="39" t="s">
        <v>215</v>
      </c>
    </row>
    <row r="44" spans="2:3" ht="15" customHeight="1" x14ac:dyDescent="0.25">
      <c r="B44" s="137">
        <v>39</v>
      </c>
      <c r="C44" s="39" t="s">
        <v>107</v>
      </c>
    </row>
    <row r="45" spans="2:3" ht="15" customHeight="1" x14ac:dyDescent="0.25">
      <c r="B45" s="137">
        <v>40</v>
      </c>
      <c r="C45" s="39" t="s">
        <v>108</v>
      </c>
    </row>
    <row r="46" spans="2:3" ht="15" customHeight="1" x14ac:dyDescent="0.25">
      <c r="B46" s="137">
        <v>41</v>
      </c>
      <c r="C46" s="39" t="s">
        <v>216</v>
      </c>
    </row>
    <row r="47" spans="2:3" ht="15" customHeight="1" x14ac:dyDescent="0.25">
      <c r="B47" s="137">
        <v>42</v>
      </c>
      <c r="C47" s="39" t="s">
        <v>217</v>
      </c>
    </row>
    <row r="48" spans="2:3" ht="15" customHeight="1" x14ac:dyDescent="0.25">
      <c r="B48" s="137">
        <v>43</v>
      </c>
      <c r="C48" s="39" t="s">
        <v>218</v>
      </c>
    </row>
    <row r="49" spans="2:3" ht="15" customHeight="1" x14ac:dyDescent="0.25">
      <c r="B49" s="137">
        <v>44</v>
      </c>
      <c r="C49" s="39" t="s">
        <v>219</v>
      </c>
    </row>
    <row r="50" spans="2:3" ht="15" customHeight="1" x14ac:dyDescent="0.25">
      <c r="B50" s="137">
        <v>45</v>
      </c>
      <c r="C50" s="39" t="s">
        <v>220</v>
      </c>
    </row>
    <row r="51" spans="2:3" ht="15" customHeight="1" x14ac:dyDescent="0.25">
      <c r="B51" s="137">
        <v>46</v>
      </c>
      <c r="C51" s="39" t="s">
        <v>221</v>
      </c>
    </row>
    <row r="52" spans="2:3" ht="15" customHeight="1" x14ac:dyDescent="0.25">
      <c r="B52" s="137">
        <v>47</v>
      </c>
      <c r="C52" s="39" t="s">
        <v>222</v>
      </c>
    </row>
    <row r="53" spans="2:3" ht="15" customHeight="1" x14ac:dyDescent="0.25">
      <c r="B53" s="137">
        <v>48</v>
      </c>
      <c r="C53" s="39" t="s">
        <v>223</v>
      </c>
    </row>
    <row r="54" spans="2:3" ht="15" customHeight="1" x14ac:dyDescent="0.25">
      <c r="B54" s="137">
        <v>49</v>
      </c>
      <c r="C54" s="39" t="s">
        <v>224</v>
      </c>
    </row>
    <row r="55" spans="2:3" ht="15" customHeight="1" x14ac:dyDescent="0.25">
      <c r="B55" s="137">
        <v>50</v>
      </c>
      <c r="C55" s="39" t="s">
        <v>225</v>
      </c>
    </row>
    <row r="56" spans="2:3" ht="15" customHeight="1" x14ac:dyDescent="0.25">
      <c r="B56" s="137">
        <v>51</v>
      </c>
      <c r="C56" s="39" t="s">
        <v>226</v>
      </c>
    </row>
    <row r="57" spans="2:3" ht="15" customHeight="1" x14ac:dyDescent="0.25">
      <c r="B57" s="137">
        <v>52</v>
      </c>
      <c r="C57" s="39" t="s">
        <v>227</v>
      </c>
    </row>
    <row r="58" spans="2:3" ht="15" customHeight="1" x14ac:dyDescent="0.25">
      <c r="B58" s="137">
        <v>53</v>
      </c>
      <c r="C58" s="39" t="s">
        <v>228</v>
      </c>
    </row>
    <row r="59" spans="2:3" ht="15" customHeight="1" x14ac:dyDescent="0.25">
      <c r="B59" s="137">
        <v>54</v>
      </c>
      <c r="C59" s="39" t="s">
        <v>229</v>
      </c>
    </row>
    <row r="60" spans="2:3" ht="15" customHeight="1" x14ac:dyDescent="0.25">
      <c r="B60" s="137">
        <v>55</v>
      </c>
      <c r="C60" s="39" t="s">
        <v>230</v>
      </c>
    </row>
    <row r="61" spans="2:3" ht="15" customHeight="1" x14ac:dyDescent="0.25">
      <c r="B61" s="137">
        <v>56</v>
      </c>
      <c r="C61" s="39" t="s">
        <v>231</v>
      </c>
    </row>
    <row r="62" spans="2:3" ht="15" customHeight="1" x14ac:dyDescent="0.25">
      <c r="B62" s="137">
        <v>57</v>
      </c>
      <c r="C62" s="39" t="s">
        <v>232</v>
      </c>
    </row>
    <row r="63" spans="2:3" ht="15" customHeight="1" x14ac:dyDescent="0.25">
      <c r="B63" s="137">
        <v>58</v>
      </c>
      <c r="C63" s="39" t="s">
        <v>233</v>
      </c>
    </row>
    <row r="64" spans="2:3" ht="15" customHeight="1" x14ac:dyDescent="0.25">
      <c r="B64" s="137">
        <v>59</v>
      </c>
      <c r="C64" s="39" t="s">
        <v>234</v>
      </c>
    </row>
    <row r="65" spans="2:3" ht="15" customHeight="1" x14ac:dyDescent="0.25">
      <c r="B65" s="137">
        <v>60</v>
      </c>
      <c r="C65" s="39" t="s">
        <v>235</v>
      </c>
    </row>
    <row r="66" spans="2:3" ht="15" customHeight="1" x14ac:dyDescent="0.25">
      <c r="B66" s="137">
        <v>61</v>
      </c>
      <c r="C66" s="39" t="s">
        <v>236</v>
      </c>
    </row>
    <row r="67" spans="2:3" ht="15" customHeight="1" x14ac:dyDescent="0.25">
      <c r="B67" s="137">
        <v>62</v>
      </c>
      <c r="C67" s="39" t="s">
        <v>237</v>
      </c>
    </row>
    <row r="68" spans="2:3" ht="15" customHeight="1" x14ac:dyDescent="0.25">
      <c r="B68" s="137">
        <v>63</v>
      </c>
      <c r="C68" s="39" t="s">
        <v>238</v>
      </c>
    </row>
    <row r="69" spans="2:3" ht="15" customHeight="1" x14ac:dyDescent="0.25">
      <c r="B69" s="137">
        <v>64</v>
      </c>
      <c r="C69" s="39" t="s">
        <v>239</v>
      </c>
    </row>
    <row r="70" spans="2:3" ht="15" customHeight="1" x14ac:dyDescent="0.25">
      <c r="B70" s="137">
        <v>65</v>
      </c>
      <c r="C70" s="39" t="s">
        <v>240</v>
      </c>
    </row>
    <row r="71" spans="2:3" ht="15" customHeight="1" x14ac:dyDescent="0.25">
      <c r="B71" s="137">
        <v>66</v>
      </c>
      <c r="C71" s="39" t="s">
        <v>241</v>
      </c>
    </row>
    <row r="72" spans="2:3" ht="15" customHeight="1" x14ac:dyDescent="0.25">
      <c r="B72" s="137">
        <v>67</v>
      </c>
      <c r="C72" s="39" t="s">
        <v>242</v>
      </c>
    </row>
    <row r="73" spans="2:3" ht="15" customHeight="1" x14ac:dyDescent="0.25">
      <c r="B73" s="137">
        <v>68</v>
      </c>
      <c r="C73" s="39" t="s">
        <v>243</v>
      </c>
    </row>
    <row r="74" spans="2:3" ht="15" customHeight="1" x14ac:dyDescent="0.25">
      <c r="B74" s="137">
        <v>69</v>
      </c>
      <c r="C74" s="39" t="s">
        <v>244</v>
      </c>
    </row>
    <row r="75" spans="2:3" ht="15" customHeight="1" x14ac:dyDescent="0.25">
      <c r="B75" s="137">
        <v>70</v>
      </c>
      <c r="C75" s="39" t="s">
        <v>245</v>
      </c>
    </row>
    <row r="76" spans="2:3" ht="15" customHeight="1" x14ac:dyDescent="0.25">
      <c r="B76" s="137">
        <v>71</v>
      </c>
      <c r="C76" s="39" t="s">
        <v>246</v>
      </c>
    </row>
    <row r="77" spans="2:3" ht="15" customHeight="1" x14ac:dyDescent="0.25">
      <c r="B77" s="137">
        <v>72</v>
      </c>
      <c r="C77" s="39" t="s">
        <v>247</v>
      </c>
    </row>
    <row r="78" spans="2:3" ht="15" customHeight="1" x14ac:dyDescent="0.25">
      <c r="B78" s="137">
        <v>73</v>
      </c>
      <c r="C78" s="39" t="s">
        <v>248</v>
      </c>
    </row>
    <row r="79" spans="2:3" ht="15" customHeight="1" x14ac:dyDescent="0.25">
      <c r="B79" s="137">
        <v>74</v>
      </c>
      <c r="C79" s="39" t="s">
        <v>249</v>
      </c>
    </row>
    <row r="80" spans="2:3" ht="15" customHeight="1" x14ac:dyDescent="0.25">
      <c r="B80" s="137">
        <v>75</v>
      </c>
      <c r="C80" s="39" t="s">
        <v>250</v>
      </c>
    </row>
    <row r="81" spans="2:3" ht="15" customHeight="1" x14ac:dyDescent="0.25">
      <c r="B81" s="137">
        <v>76</v>
      </c>
      <c r="C81" s="39" t="s">
        <v>251</v>
      </c>
    </row>
    <row r="82" spans="2:3" ht="15" customHeight="1" x14ac:dyDescent="0.25">
      <c r="B82" s="137">
        <v>77</v>
      </c>
      <c r="C82" s="39" t="s">
        <v>252</v>
      </c>
    </row>
    <row r="83" spans="2:3" ht="15" customHeight="1" x14ac:dyDescent="0.25">
      <c r="B83" s="137">
        <v>78</v>
      </c>
      <c r="C83" s="39" t="s">
        <v>253</v>
      </c>
    </row>
    <row r="84" spans="2:3" ht="15" customHeight="1" x14ac:dyDescent="0.25">
      <c r="B84" s="137">
        <v>79</v>
      </c>
      <c r="C84" s="39" t="s">
        <v>254</v>
      </c>
    </row>
    <row r="85" spans="2:3" ht="15" customHeight="1" x14ac:dyDescent="0.25">
      <c r="B85" s="137">
        <v>80</v>
      </c>
      <c r="C85" s="39" t="s">
        <v>255</v>
      </c>
    </row>
    <row r="86" spans="2:3" ht="15" customHeight="1" x14ac:dyDescent="0.25">
      <c r="B86" s="137">
        <v>81</v>
      </c>
      <c r="C86" s="39" t="s">
        <v>256</v>
      </c>
    </row>
    <row r="87" spans="2:3" ht="15" customHeight="1" x14ac:dyDescent="0.25">
      <c r="B87" s="137">
        <v>82</v>
      </c>
      <c r="C87" s="39" t="s">
        <v>257</v>
      </c>
    </row>
    <row r="88" spans="2:3" ht="15" customHeight="1" x14ac:dyDescent="0.25">
      <c r="B88" s="137">
        <v>83</v>
      </c>
      <c r="C88" s="39" t="s">
        <v>258</v>
      </c>
    </row>
    <row r="89" spans="2:3" ht="15" customHeight="1" x14ac:dyDescent="0.25">
      <c r="B89" s="137">
        <v>84</v>
      </c>
      <c r="C89" s="39" t="s">
        <v>259</v>
      </c>
    </row>
    <row r="90" spans="2:3" ht="15" customHeight="1" x14ac:dyDescent="0.25">
      <c r="B90" s="137">
        <v>85</v>
      </c>
      <c r="C90" s="39" t="s">
        <v>260</v>
      </c>
    </row>
    <row r="91" spans="2:3" ht="15" customHeight="1" x14ac:dyDescent="0.25">
      <c r="B91" s="137">
        <v>86</v>
      </c>
      <c r="C91" s="39" t="s">
        <v>261</v>
      </c>
    </row>
    <row r="92" spans="2:3" ht="15" customHeight="1" x14ac:dyDescent="0.25">
      <c r="B92" s="137">
        <v>87</v>
      </c>
      <c r="C92" s="39" t="s">
        <v>262</v>
      </c>
    </row>
    <row r="93" spans="2:3" ht="15" customHeight="1" x14ac:dyDescent="0.25">
      <c r="B93" s="137">
        <v>88</v>
      </c>
      <c r="C93" s="39" t="s">
        <v>263</v>
      </c>
    </row>
    <row r="94" spans="2:3" ht="15" customHeight="1" x14ac:dyDescent="0.25">
      <c r="B94" s="137">
        <v>89</v>
      </c>
      <c r="C94" s="39" t="s">
        <v>264</v>
      </c>
    </row>
    <row r="95" spans="2:3" ht="15" customHeight="1" x14ac:dyDescent="0.25">
      <c r="B95" s="137">
        <v>90</v>
      </c>
      <c r="C95" s="39" t="s">
        <v>265</v>
      </c>
    </row>
    <row r="96" spans="2:3" ht="15" customHeight="1" x14ac:dyDescent="0.25">
      <c r="B96" s="137">
        <v>91</v>
      </c>
      <c r="C96" s="39" t="s">
        <v>266</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baseColWidth="10" defaultColWidth="8.6640625" defaultRowHeight="14.4" x14ac:dyDescent="0.3"/>
  <cols>
    <col min="1" max="1" width="1.44140625" style="1" customWidth="1"/>
    <col min="2" max="2" width="4.109375" style="1" customWidth="1"/>
    <col min="3" max="3" width="30.44140625" style="1" customWidth="1"/>
    <col min="4" max="4" width="1.44140625" style="1" customWidth="1"/>
    <col min="5" max="5" width="4.109375" style="1" customWidth="1"/>
    <col min="6" max="6" width="30.44140625" style="1" customWidth="1"/>
    <col min="7" max="8" width="4.44140625" style="1" customWidth="1"/>
    <col min="9" max="12" width="8.6640625" style="1" customWidth="1"/>
    <col min="13" max="16384" width="8.6640625" style="2"/>
  </cols>
  <sheetData>
    <row r="1" spans="1:12" s="37" customFormat="1" ht="4.95" customHeight="1" x14ac:dyDescent="0.3">
      <c r="A1" s="36"/>
      <c r="B1" s="36"/>
      <c r="C1" s="36"/>
      <c r="D1" s="36"/>
      <c r="E1" s="36"/>
      <c r="F1" s="36"/>
      <c r="G1" s="36"/>
      <c r="H1" s="36"/>
      <c r="I1" s="36"/>
      <c r="J1" s="36"/>
      <c r="K1" s="36"/>
      <c r="L1" s="36"/>
    </row>
    <row r="2" spans="1:12" ht="4.95" customHeight="1" x14ac:dyDescent="0.3"/>
    <row r="3" spans="1:12" ht="36.6" x14ac:dyDescent="0.3">
      <c r="B3" s="18" t="s">
        <v>267</v>
      </c>
    </row>
    <row r="4" spans="1:12" ht="4.95" customHeight="1" x14ac:dyDescent="0.3"/>
    <row r="5" spans="1:12" x14ac:dyDescent="0.3">
      <c r="B5" s="410" t="s">
        <v>268</v>
      </c>
      <c r="C5" s="410"/>
      <c r="E5" s="410" t="s">
        <v>269</v>
      </c>
      <c r="F5" s="410"/>
    </row>
    <row r="6" spans="1:12" x14ac:dyDescent="0.3">
      <c r="B6" s="136"/>
      <c r="C6" s="136" t="s">
        <v>270</v>
      </c>
      <c r="E6" s="136"/>
      <c r="F6" s="136" t="s">
        <v>270</v>
      </c>
    </row>
    <row r="7" spans="1:12" x14ac:dyDescent="0.3">
      <c r="B7" s="134">
        <v>1</v>
      </c>
      <c r="C7" s="135" t="s">
        <v>271</v>
      </c>
      <c r="E7" s="134">
        <v>1</v>
      </c>
      <c r="F7" s="135" t="s">
        <v>271</v>
      </c>
      <c r="H7" s="190" t="s">
        <v>14</v>
      </c>
      <c r="I7" s="411" t="s">
        <v>272</v>
      </c>
      <c r="J7" s="411"/>
      <c r="K7" s="411"/>
      <c r="L7" s="411"/>
    </row>
    <row r="8" spans="1:12" x14ac:dyDescent="0.3">
      <c r="B8" s="38">
        <v>2</v>
      </c>
      <c r="C8" s="39" t="s">
        <v>273</v>
      </c>
      <c r="E8" s="38">
        <v>2</v>
      </c>
      <c r="F8" s="39" t="s">
        <v>273</v>
      </c>
      <c r="H8" s="191"/>
      <c r="I8" s="411"/>
      <c r="J8" s="411"/>
      <c r="K8" s="411"/>
      <c r="L8" s="411"/>
    </row>
    <row r="9" spans="1:12" x14ac:dyDescent="0.3">
      <c r="B9" s="38">
        <v>3</v>
      </c>
      <c r="C9" s="39" t="s">
        <v>274</v>
      </c>
      <c r="E9" s="38">
        <v>3</v>
      </c>
      <c r="F9" s="39" t="s">
        <v>274</v>
      </c>
      <c r="H9" s="191"/>
      <c r="I9" s="411"/>
      <c r="J9" s="411"/>
      <c r="K9" s="411"/>
      <c r="L9" s="411"/>
    </row>
    <row r="10" spans="1:12" x14ac:dyDescent="0.3">
      <c r="B10" s="38">
        <v>4</v>
      </c>
      <c r="C10" s="39" t="s">
        <v>275</v>
      </c>
      <c r="E10" s="38">
        <v>4</v>
      </c>
      <c r="F10" s="39" t="s">
        <v>275</v>
      </c>
      <c r="H10" s="192"/>
      <c r="I10" s="411"/>
      <c r="J10" s="411"/>
      <c r="K10" s="411"/>
      <c r="L10" s="411"/>
    </row>
    <row r="11" spans="1:12" x14ac:dyDescent="0.3">
      <c r="B11" s="38">
        <v>5</v>
      </c>
      <c r="C11" s="39" t="s">
        <v>276</v>
      </c>
      <c r="E11" s="38">
        <v>5</v>
      </c>
      <c r="F11" s="39" t="s">
        <v>276</v>
      </c>
      <c r="H11" s="191"/>
      <c r="I11" s="411"/>
      <c r="J11" s="411"/>
      <c r="K11" s="411"/>
      <c r="L11" s="411"/>
    </row>
    <row r="12" spans="1:12" x14ac:dyDescent="0.3">
      <c r="B12" s="38">
        <v>6</v>
      </c>
      <c r="C12" s="39" t="s">
        <v>277</v>
      </c>
      <c r="E12" s="38">
        <v>6</v>
      </c>
      <c r="F12" s="39" t="s">
        <v>277</v>
      </c>
      <c r="H12" s="191"/>
      <c r="I12" s="411"/>
      <c r="J12" s="411"/>
      <c r="K12" s="411"/>
      <c r="L12" s="411"/>
    </row>
    <row r="13" spans="1:12" x14ac:dyDescent="0.3">
      <c r="B13" s="38">
        <v>7</v>
      </c>
      <c r="C13" s="39" t="s">
        <v>278</v>
      </c>
      <c r="E13" s="38">
        <v>7</v>
      </c>
      <c r="F13" s="39" t="s">
        <v>278</v>
      </c>
      <c r="H13" s="191"/>
      <c r="I13" s="411"/>
      <c r="J13" s="411"/>
      <c r="K13" s="411"/>
      <c r="L13" s="411"/>
    </row>
    <row r="14" spans="1:12" x14ac:dyDescent="0.3">
      <c r="B14" s="38">
        <v>8</v>
      </c>
      <c r="C14" s="39" t="s">
        <v>279</v>
      </c>
      <c r="E14" s="38">
        <v>8</v>
      </c>
      <c r="F14" s="39" t="s">
        <v>279</v>
      </c>
      <c r="H14" s="191"/>
      <c r="I14" s="411"/>
      <c r="J14" s="411"/>
      <c r="K14" s="411"/>
      <c r="L14" s="411"/>
    </row>
    <row r="15" spans="1:12" x14ac:dyDescent="0.3">
      <c r="B15" s="38">
        <v>9</v>
      </c>
      <c r="C15" s="39"/>
      <c r="E15" s="38">
        <v>9</v>
      </c>
      <c r="F15" s="39"/>
      <c r="H15" s="191"/>
      <c r="I15" s="411"/>
      <c r="J15" s="411"/>
      <c r="K15" s="411"/>
      <c r="L15" s="411"/>
    </row>
    <row r="16" spans="1:12" x14ac:dyDescent="0.3">
      <c r="B16" s="38">
        <v>10</v>
      </c>
      <c r="C16" s="39"/>
      <c r="E16" s="38">
        <v>10</v>
      </c>
      <c r="F16" s="39"/>
      <c r="H16" s="190" t="s">
        <v>14</v>
      </c>
      <c r="I16" s="411" t="s">
        <v>280</v>
      </c>
      <c r="J16" s="411"/>
      <c r="K16" s="411"/>
      <c r="L16" s="411"/>
    </row>
    <row r="17" spans="2:12" x14ac:dyDescent="0.3">
      <c r="B17" s="38">
        <v>11</v>
      </c>
      <c r="C17" s="39"/>
      <c r="E17" s="38">
        <v>11</v>
      </c>
      <c r="F17" s="39"/>
      <c r="H17" s="191"/>
      <c r="I17" s="411"/>
      <c r="J17" s="411"/>
      <c r="K17" s="411"/>
      <c r="L17" s="411"/>
    </row>
    <row r="18" spans="2:12" x14ac:dyDescent="0.3">
      <c r="H18" s="191"/>
      <c r="I18" s="411"/>
      <c r="J18" s="411"/>
      <c r="K18" s="411"/>
      <c r="L18" s="411"/>
    </row>
    <row r="19" spans="2:12" x14ac:dyDescent="0.3">
      <c r="H19" s="191"/>
      <c r="I19" s="411"/>
      <c r="J19" s="411"/>
      <c r="K19" s="411"/>
      <c r="L19" s="411"/>
    </row>
    <row r="20" spans="2:12" x14ac:dyDescent="0.3">
      <c r="H20" s="191"/>
      <c r="I20" s="411"/>
      <c r="J20" s="411"/>
      <c r="K20" s="411"/>
      <c r="L20" s="411"/>
    </row>
    <row r="21" spans="2:12" x14ac:dyDescent="0.3">
      <c r="H21" s="191"/>
      <c r="I21" s="411"/>
      <c r="J21" s="411"/>
      <c r="K21" s="411"/>
      <c r="L21" s="411"/>
    </row>
    <row r="22" spans="2:12" x14ac:dyDescent="0.3">
      <c r="H22" s="191"/>
      <c r="I22" s="411"/>
      <c r="J22" s="411"/>
      <c r="K22" s="411"/>
      <c r="L22" s="411"/>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8D01BE-9923-45B8-881E-F3D0F97DC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13</vt:i4>
      </vt:variant>
      <vt:variant>
        <vt:lpstr>Navngitte områder</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'Game Setup'!Utskriftsområde</vt:lpstr>
      <vt:lpstr>'Language Table'!Utskriftsområde</vt:lpstr>
      <vt:lpstr>'Player Game Board'!Utskriftsområde</vt:lpstr>
      <vt:lpstr>'Player Scoreboard'!Utskriftsområde</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Hove, Kristoffer</cp:lastModifiedBy>
  <cp:revision/>
  <dcterms:created xsi:type="dcterms:W3CDTF">2008-04-13T01:23:18Z</dcterms:created>
  <dcterms:modified xsi:type="dcterms:W3CDTF">2024-06-21T17:59:10Z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