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ín\Desktop\8vo Semestre\X Proj\Motores\Motores\Cálculos\"/>
    </mc:Choice>
  </mc:AlternateContent>
  <xr:revisionPtr revIDLastSave="0" documentId="13_ncr:1_{1A9370BF-2A9B-4725-81ED-C42B6A1BF770}" xr6:coauthVersionLast="41" xr6:coauthVersionMax="41" xr10:uidLastSave="{00000000-0000-0000-0000-000000000000}"/>
  <bookViews>
    <workbookView xWindow="0" yWindow="0" windowWidth="20490" windowHeight="11070" xr2:uid="{03553B7E-C9D1-4A7E-9F36-63E00A5C86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7" i="1"/>
  <c r="G8" i="1"/>
  <c r="G9" i="1"/>
  <c r="G10" i="1"/>
  <c r="G11" i="1"/>
  <c r="G12" i="1"/>
  <c r="G13" i="1"/>
  <c r="G14" i="1"/>
  <c r="G15" i="1"/>
  <c r="G7" i="1"/>
  <c r="D5" i="1"/>
  <c r="D6" i="1"/>
  <c r="D7" i="1"/>
  <c r="E7" i="1" s="1"/>
  <c r="D8" i="1"/>
  <c r="D9" i="1"/>
  <c r="D10" i="1"/>
  <c r="D11" i="1"/>
  <c r="E11" i="1" s="1"/>
  <c r="D12" i="1"/>
  <c r="D13" i="1"/>
  <c r="D14" i="1"/>
  <c r="D15" i="1"/>
  <c r="E15" i="1" s="1"/>
  <c r="D4" i="1"/>
  <c r="E4" i="1" s="1"/>
  <c r="E14" i="1" l="1"/>
  <c r="E10" i="1"/>
  <c r="E13" i="1"/>
  <c r="E9" i="1"/>
  <c r="E12" i="1"/>
  <c r="E8" i="1"/>
  <c r="E6" i="1"/>
  <c r="E5" i="1"/>
  <c r="C15" i="1"/>
  <c r="S15" i="1" s="1"/>
  <c r="T15" i="1" s="1"/>
  <c r="C14" i="1"/>
  <c r="H14" i="1" s="1"/>
  <c r="H15" i="1" l="1"/>
  <c r="J14" i="1"/>
  <c r="K14" i="1"/>
  <c r="J15" i="1"/>
  <c r="K15" i="1"/>
  <c r="M15" i="1"/>
  <c r="M14" i="1"/>
  <c r="S14" i="1"/>
  <c r="T14" i="1" s="1"/>
  <c r="C13" i="1"/>
  <c r="C12" i="1"/>
  <c r="C11" i="1"/>
  <c r="S11" i="1" s="1"/>
  <c r="T11" i="1" s="1"/>
  <c r="C10" i="1"/>
  <c r="S10" i="1" s="1"/>
  <c r="T10" i="1" s="1"/>
  <c r="C9" i="1"/>
  <c r="C8" i="1"/>
  <c r="C7" i="1"/>
  <c r="S7" i="1" s="1"/>
  <c r="T7" i="1" s="1"/>
  <c r="C6" i="1"/>
  <c r="S6" i="1" s="1"/>
  <c r="T6" i="1" s="1"/>
  <c r="C5" i="1"/>
  <c r="C4" i="1"/>
  <c r="P14" i="1" l="1"/>
  <c r="P15" i="1"/>
  <c r="H10" i="1"/>
  <c r="H4" i="1"/>
  <c r="S4" i="1"/>
  <c r="T4" i="1" s="1"/>
  <c r="H8" i="1"/>
  <c r="S8" i="1"/>
  <c r="T8" i="1" s="1"/>
  <c r="H12" i="1"/>
  <c r="S12" i="1"/>
  <c r="T12" i="1" s="1"/>
  <c r="H7" i="1"/>
  <c r="H5" i="1"/>
  <c r="S5" i="1"/>
  <c r="T5" i="1" s="1"/>
  <c r="H9" i="1"/>
  <c r="S9" i="1"/>
  <c r="T9" i="1" s="1"/>
  <c r="H13" i="1"/>
  <c r="S13" i="1"/>
  <c r="T13" i="1" s="1"/>
  <c r="H6" i="1"/>
  <c r="H11" i="1"/>
  <c r="K13" i="1" l="1"/>
  <c r="I13" i="1"/>
  <c r="K10" i="1"/>
  <c r="I10" i="1"/>
  <c r="K12" i="1"/>
  <c r="I12" i="1"/>
  <c r="K11" i="1"/>
  <c r="I11" i="1"/>
  <c r="M7" i="1"/>
  <c r="O7" i="1" s="1"/>
  <c r="I7" i="1"/>
  <c r="K7" i="1"/>
  <c r="I15" i="1"/>
  <c r="I14" i="1"/>
  <c r="I8" i="1"/>
  <c r="K8" i="1"/>
  <c r="L8" i="1" s="1"/>
  <c r="K9" i="1"/>
  <c r="I9" i="1"/>
  <c r="J6" i="1"/>
  <c r="K6" i="1"/>
  <c r="M6" i="1"/>
  <c r="P6" i="1" s="1"/>
  <c r="J12" i="1"/>
  <c r="M12" i="1"/>
  <c r="P4" i="1"/>
  <c r="M4" i="1"/>
  <c r="K4" i="1"/>
  <c r="J11" i="1"/>
  <c r="M11" i="1"/>
  <c r="J8" i="1"/>
  <c r="M8" i="1"/>
  <c r="J9" i="1"/>
  <c r="M9" i="1"/>
  <c r="J13" i="1"/>
  <c r="M13" i="1"/>
  <c r="J5" i="1"/>
  <c r="M5" i="1"/>
  <c r="P5" i="1" s="1"/>
  <c r="K5" i="1"/>
  <c r="J10" i="1"/>
  <c r="M10" i="1"/>
  <c r="J7" i="1"/>
  <c r="J4" i="1"/>
  <c r="P8" i="1" l="1"/>
  <c r="O8" i="1"/>
  <c r="Q8" i="1" s="1"/>
  <c r="Q7" i="1"/>
  <c r="L12" i="1"/>
  <c r="P10" i="1"/>
  <c r="O10" i="1"/>
  <c r="Q10" i="1" s="1"/>
  <c r="P13" i="1"/>
  <c r="O13" i="1"/>
  <c r="Q13" i="1" s="1"/>
  <c r="L9" i="1"/>
  <c r="O15" i="1"/>
  <c r="Q15" i="1" s="1"/>
  <c r="P12" i="1"/>
  <c r="O12" i="1"/>
  <c r="Q12" i="1" s="1"/>
  <c r="P9" i="1"/>
  <c r="O9" i="1"/>
  <c r="Q9" i="1" s="1"/>
  <c r="P11" i="1"/>
  <c r="O11" i="1"/>
  <c r="Q11" i="1" s="1"/>
  <c r="O14" i="1"/>
  <c r="Q14" i="1" s="1"/>
  <c r="L7" i="1"/>
  <c r="L14" i="1"/>
  <c r="L15" i="1"/>
  <c r="L11" i="1"/>
  <c r="L10" i="1"/>
  <c r="P7" i="1"/>
  <c r="L13" i="1"/>
</calcChain>
</file>

<file path=xl/sharedStrings.xml><?xml version="1.0" encoding="utf-8"?>
<sst xmlns="http://schemas.openxmlformats.org/spreadsheetml/2006/main" count="26" uniqueCount="24">
  <si>
    <t>n</t>
  </si>
  <si>
    <t>dawg</t>
  </si>
  <si>
    <t>Fórmula (4*n*(31+10*dawg)+152)*p</t>
  </si>
  <si>
    <t>Estator 12N14P de 45mm de diámetro</t>
  </si>
  <si>
    <t>Estator 18N20P de 93mm de diámetro</t>
  </si>
  <si>
    <t>Fórmula (6*n*(40.5+10*dawg)+270)*p</t>
  </si>
  <si>
    <t>AWG</t>
  </si>
  <si>
    <t>Variables comunes del cable</t>
  </si>
  <si>
    <t>longitud</t>
  </si>
  <si>
    <t>Corriente pico entre 2 fases [A]</t>
  </si>
  <si>
    <t>Torque pico [Proporción]</t>
  </si>
  <si>
    <t>p [resistencia/mm]</t>
  </si>
  <si>
    <t>área del cable</t>
  </si>
  <si>
    <t xml:space="preserve">número de vueltas </t>
  </si>
  <si>
    <t xml:space="preserve">área </t>
  </si>
  <si>
    <t>resistencia</t>
  </si>
  <si>
    <t>resistencia normalizada</t>
  </si>
  <si>
    <t>área normalizada</t>
  </si>
  <si>
    <t>número de vueltas normalizado</t>
  </si>
  <si>
    <t>Corriente pico por fase restringida</t>
  </si>
  <si>
    <t xml:space="preserve">corriente por fase restringida normlizada </t>
  </si>
  <si>
    <t>Torque pico [Proporción] con valores normalizados</t>
  </si>
  <si>
    <t>Corriente pico entre 2 fases límite [A] normalizada</t>
  </si>
  <si>
    <t>Corriente pico entre 2 fases límite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</si>
</sst>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40C3-909E-498B-A301-44A80EEDB5C1}">
  <dimension ref="A1:Y20"/>
  <sheetViews>
    <sheetView tabSelected="1" zoomScale="90" zoomScaleNormal="90" workbookViewId="0">
      <selection activeCell="Q21" sqref="Q21"/>
    </sheetView>
  </sheetViews>
  <sheetFormatPr baseColWidth="10" defaultRowHeight="15" x14ac:dyDescent="0.25"/>
  <cols>
    <col min="1" max="2" width="11.7109375" customWidth="1"/>
    <col min="3" max="4" width="22.28515625" customWidth="1"/>
    <col min="5" max="5" width="46.5703125" customWidth="1"/>
    <col min="7" max="7" width="46.5703125" customWidth="1"/>
    <col min="8" max="9" width="38.7109375" customWidth="1"/>
    <col min="10" max="10" width="9.5703125" customWidth="1"/>
    <col min="11" max="11" width="33.85546875" customWidth="1"/>
    <col min="12" max="12" width="40.28515625" customWidth="1"/>
    <col min="13" max="13" width="27.28515625" customWidth="1"/>
    <col min="14" max="15" width="38.28515625" customWidth="1"/>
    <col min="16" max="16" width="23.140625" customWidth="1"/>
    <col min="17" max="17" width="46.7109375" customWidth="1"/>
    <col min="18" max="18" width="11.42578125" customWidth="1"/>
    <col min="19" max="19" width="37" customWidth="1"/>
    <col min="20" max="20" width="9.5703125" customWidth="1"/>
  </cols>
  <sheetData>
    <row r="1" spans="1:20" ht="15" customHeight="1" x14ac:dyDescent="0.25">
      <c r="A1" s="30" t="s">
        <v>7</v>
      </c>
      <c r="B1" s="31"/>
      <c r="C1" s="31"/>
      <c r="D1" s="31"/>
      <c r="E1" s="34"/>
      <c r="G1" s="28"/>
      <c r="H1" s="38" t="s">
        <v>3</v>
      </c>
      <c r="I1" s="42"/>
      <c r="J1" s="39"/>
      <c r="K1" s="39"/>
      <c r="L1" s="39"/>
      <c r="M1" s="17"/>
      <c r="N1" s="48"/>
      <c r="O1" s="48"/>
      <c r="P1" s="18"/>
      <c r="Q1" s="45"/>
      <c r="R1" s="20" t="s">
        <v>4</v>
      </c>
      <c r="S1" s="21"/>
      <c r="T1" s="22"/>
    </row>
    <row r="2" spans="1:20" ht="15" customHeight="1" x14ac:dyDescent="0.25">
      <c r="A2" s="32"/>
      <c r="B2" s="33"/>
      <c r="C2" s="33"/>
      <c r="D2" s="33"/>
      <c r="E2" s="35"/>
      <c r="F2" s="40"/>
      <c r="G2" s="29"/>
      <c r="H2" s="41"/>
      <c r="I2" s="41"/>
      <c r="J2" s="41"/>
      <c r="K2" s="41"/>
      <c r="L2" s="41"/>
      <c r="M2" s="1"/>
      <c r="N2" s="49"/>
      <c r="O2" s="49"/>
      <c r="P2" s="19"/>
      <c r="Q2" s="46"/>
      <c r="R2" s="23"/>
      <c r="S2" s="24"/>
      <c r="T2" s="25"/>
    </row>
    <row r="3" spans="1:20" x14ac:dyDescent="0.25">
      <c r="A3" s="13" t="s">
        <v>6</v>
      </c>
      <c r="B3" s="14" t="s">
        <v>1</v>
      </c>
      <c r="C3" s="15" t="s">
        <v>11</v>
      </c>
      <c r="D3" s="26" t="s">
        <v>12</v>
      </c>
      <c r="E3" s="36" t="s">
        <v>17</v>
      </c>
      <c r="F3" s="5" t="s">
        <v>0</v>
      </c>
      <c r="G3" s="36" t="s">
        <v>18</v>
      </c>
      <c r="H3" s="2" t="s">
        <v>2</v>
      </c>
      <c r="I3" s="44" t="s">
        <v>16</v>
      </c>
      <c r="J3" s="2" t="s">
        <v>8</v>
      </c>
      <c r="K3" s="2" t="s">
        <v>19</v>
      </c>
      <c r="L3" s="43" t="s">
        <v>20</v>
      </c>
      <c r="M3" s="2" t="s">
        <v>9</v>
      </c>
      <c r="N3" s="2" t="s">
        <v>23</v>
      </c>
      <c r="O3" s="50" t="s">
        <v>22</v>
      </c>
      <c r="P3" s="6" t="s">
        <v>10</v>
      </c>
      <c r="Q3" s="47" t="s">
        <v>21</v>
      </c>
      <c r="R3" s="5" t="s">
        <v>0</v>
      </c>
      <c r="S3" s="2" t="s">
        <v>5</v>
      </c>
      <c r="T3" s="6" t="s">
        <v>8</v>
      </c>
    </row>
    <row r="4" spans="1:20" hidden="1" x14ac:dyDescent="0.25">
      <c r="A4" s="5">
        <v>16</v>
      </c>
      <c r="B4" s="2">
        <v>1.29</v>
      </c>
      <c r="C4" s="4">
        <f>(1.48/100)/1000</f>
        <v>1.4800000000000001E-5</v>
      </c>
      <c r="D4" s="27">
        <f>PI()*(B4/2)^2</f>
        <v>1.3069810837096938</v>
      </c>
      <c r="E4" s="37">
        <f>D4/$D$4</f>
        <v>1</v>
      </c>
      <c r="F4" s="5"/>
      <c r="G4" s="37"/>
      <c r="H4" s="2">
        <f>(4*$F4*(31+10*$B4)+152)*$C4</f>
        <v>2.2496E-3</v>
      </c>
      <c r="I4" s="43"/>
      <c r="J4" s="2">
        <f>H4/C4</f>
        <v>152</v>
      </c>
      <c r="K4" s="2">
        <f>22.2/H4</f>
        <v>9868.4210526315783</v>
      </c>
      <c r="L4" s="43"/>
      <c r="M4" s="2">
        <f>22.2/(2*H4)</f>
        <v>4934.2105263157891</v>
      </c>
      <c r="N4" s="4"/>
      <c r="O4" s="50"/>
      <c r="P4" s="6">
        <f>(F4*PI()*((B4/2)^2)*H4)^(1/2)</f>
        <v>0</v>
      </c>
      <c r="Q4" s="37"/>
      <c r="R4" s="5"/>
      <c r="S4" s="2">
        <f>(6*$R4*(40.5+15*$B4)+270)*$C4</f>
        <v>3.9960000000000004E-3</v>
      </c>
      <c r="T4" s="6">
        <f>S4/C4</f>
        <v>270</v>
      </c>
    </row>
    <row r="5" spans="1:20" hidden="1" x14ac:dyDescent="0.25">
      <c r="A5" s="5">
        <v>18</v>
      </c>
      <c r="B5" s="2">
        <v>1.024</v>
      </c>
      <c r="C5" s="4">
        <f>(2.04/100)/1000</f>
        <v>2.0400000000000001E-5</v>
      </c>
      <c r="D5" s="27">
        <f t="shared" ref="D5:D15" si="0">PI()*(B5/2)^2</f>
        <v>0.82354966458264267</v>
      </c>
      <c r="E5" s="37">
        <f>D5/$D$4</f>
        <v>0.63011597860705482</v>
      </c>
      <c r="F5" s="5"/>
      <c r="G5" s="37"/>
      <c r="H5" s="2">
        <f>(4*$F5*(31+10*$B5)+152)*$C5</f>
        <v>3.1008000000000003E-3</v>
      </c>
      <c r="I5" s="43"/>
      <c r="J5" s="2">
        <f>H5/C5</f>
        <v>152</v>
      </c>
      <c r="K5" s="2">
        <f t="shared" ref="K5:K6" si="1">22.2/H5</f>
        <v>7159.442724458203</v>
      </c>
      <c r="L5" s="43"/>
      <c r="M5" s="2">
        <f t="shared" ref="M5:M15" si="2">22.2/(2*H5)</f>
        <v>3579.7213622291015</v>
      </c>
      <c r="N5" s="4"/>
      <c r="O5" s="50"/>
      <c r="P5" s="6">
        <f>(F5*PI()*((B5/2)^2)*M5^2*H5)^(1/2)</f>
        <v>0</v>
      </c>
      <c r="Q5" s="37"/>
      <c r="R5" s="5">
        <v>32</v>
      </c>
      <c r="S5" s="2">
        <f>(6*$R5*(40.5+15*$B5)+270)*$C5</f>
        <v>0.22430044799999999</v>
      </c>
      <c r="T5" s="6">
        <f>S5/C5</f>
        <v>10995.119999999999</v>
      </c>
    </row>
    <row r="6" spans="1:20" hidden="1" x14ac:dyDescent="0.25">
      <c r="A6" s="5">
        <v>19</v>
      </c>
      <c r="B6" s="2">
        <v>0.91200000000000003</v>
      </c>
      <c r="C6" s="4">
        <f>(2.6/100)/1000</f>
        <v>2.6000000000000002E-5</v>
      </c>
      <c r="D6" s="27">
        <f t="shared" si="0"/>
        <v>0.65325021001684724</v>
      </c>
      <c r="E6" s="37">
        <f>D6/$D$4</f>
        <v>0.49981611681990262</v>
      </c>
      <c r="F6" s="5"/>
      <c r="G6" s="37"/>
      <c r="H6" s="2">
        <f>(4*$F6*(31+10*$B6)+152)*$C6</f>
        <v>3.9520000000000007E-3</v>
      </c>
      <c r="I6" s="43"/>
      <c r="J6" s="2">
        <f>H6/C6</f>
        <v>152.00000000000003</v>
      </c>
      <c r="K6" s="2">
        <f t="shared" si="1"/>
        <v>5617.4089068825897</v>
      </c>
      <c r="L6" s="43"/>
      <c r="M6" s="2">
        <f t="shared" si="2"/>
        <v>2808.7044534412948</v>
      </c>
      <c r="N6" s="4"/>
      <c r="O6" s="50"/>
      <c r="P6" s="6">
        <f>(F6*PI()*((B6/2)^2)*M6^2*H6)^(1/2)</f>
        <v>0</v>
      </c>
      <c r="Q6" s="37"/>
      <c r="R6" s="5"/>
      <c r="S6" s="2">
        <f>(6*$R6*(40.5+15*$B6)+270)*$C6</f>
        <v>7.0200000000000002E-3</v>
      </c>
      <c r="T6" s="6">
        <f>S6/C6</f>
        <v>270</v>
      </c>
    </row>
    <row r="7" spans="1:20" x14ac:dyDescent="0.25">
      <c r="A7" s="5">
        <v>20</v>
      </c>
      <c r="B7" s="2">
        <v>0.81200000000000006</v>
      </c>
      <c r="C7" s="4">
        <f>(3.5/100)/1000</f>
        <v>3.5000000000000004E-5</v>
      </c>
      <c r="D7" s="27">
        <f t="shared" si="0"/>
        <v>0.51784756664712717</v>
      </c>
      <c r="E7" s="37">
        <f>D7/$D$7</f>
        <v>1</v>
      </c>
      <c r="F7" s="5">
        <v>14</v>
      </c>
      <c r="G7" s="37">
        <f>F7/$F$7</f>
        <v>1</v>
      </c>
      <c r="H7" s="2">
        <f>(4*$F7*(31+10*$B7)+152)*$C7</f>
        <v>8.1995200000000018E-2</v>
      </c>
      <c r="I7" s="43">
        <f>H7/$H$7</f>
        <v>1</v>
      </c>
      <c r="J7" s="2">
        <f>H7/C7</f>
        <v>2342.7200000000003</v>
      </c>
      <c r="K7" s="2">
        <f>IF(22.2/H7&gt;25,25,22.2/H7)</f>
        <v>25</v>
      </c>
      <c r="L7" s="43">
        <f>K7/$K$7</f>
        <v>1</v>
      </c>
      <c r="M7" s="2">
        <f>22.2/(2*H7)</f>
        <v>135.37377797724741</v>
      </c>
      <c r="N7" s="4">
        <f>IF(M7&gt;25,25,M7)</f>
        <v>25</v>
      </c>
      <c r="O7" s="50">
        <f>N7/$N$7</f>
        <v>1</v>
      </c>
      <c r="P7" s="6">
        <f>(F7*PI()*((B7/2)^2)*M7^2*H7)^(1/2)</f>
        <v>104.37434228379104</v>
      </c>
      <c r="Q7" s="37">
        <f>(G7*E7*(O7^2)*I7)^(1/2)</f>
        <v>1</v>
      </c>
      <c r="R7" s="5"/>
      <c r="S7" s="2">
        <f>(6*$R7*(40.5+15*$B7)+270)*$C7</f>
        <v>9.4500000000000018E-3</v>
      </c>
      <c r="T7" s="6">
        <f>S7/C7</f>
        <v>270</v>
      </c>
    </row>
    <row r="8" spans="1:20" hidden="1" x14ac:dyDescent="0.25">
      <c r="A8" s="5">
        <v>21</v>
      </c>
      <c r="B8" s="2">
        <v>0.72299999999999998</v>
      </c>
      <c r="C8" s="4">
        <f>(4.3/100)/1000</f>
        <v>4.2999999999999995E-5</v>
      </c>
      <c r="D8" s="27">
        <f t="shared" si="0"/>
        <v>0.41055039655458475</v>
      </c>
      <c r="E8" s="37">
        <f>D8/$D$7</f>
        <v>0.79280163313839203</v>
      </c>
      <c r="F8" s="5"/>
      <c r="G8" s="37">
        <f>F8/$F$7</f>
        <v>0</v>
      </c>
      <c r="H8" s="2">
        <f>(4*$F8*(31+10*$B8)+152)*$C8</f>
        <v>6.5359999999999993E-3</v>
      </c>
      <c r="I8" s="43">
        <f t="shared" ref="I8:I15" si="3">H8/$H$7</f>
        <v>7.9711983140476492E-2</v>
      </c>
      <c r="J8" s="2">
        <f>H8/C8</f>
        <v>152</v>
      </c>
      <c r="K8" s="2">
        <f t="shared" ref="K8:K15" si="4">IF(22.2/H8&gt;25,25,22.2/H8)</f>
        <v>25</v>
      </c>
      <c r="L8" s="43">
        <f t="shared" ref="L8:L15" si="5">K8/$K$7</f>
        <v>1</v>
      </c>
      <c r="M8" s="2">
        <f t="shared" si="2"/>
        <v>1698.2864137086904</v>
      </c>
      <c r="N8" s="4">
        <f t="shared" ref="N8:N15" si="6">IF(M8&gt;25,25,M8)</f>
        <v>25</v>
      </c>
      <c r="O8" s="50">
        <f t="shared" ref="O8:O15" si="7">N8/$N$7</f>
        <v>1</v>
      </c>
      <c r="P8" s="6">
        <f>(F8*PI()*((B8/2)^2)*M8^2*H8)^(1/2)</f>
        <v>0</v>
      </c>
      <c r="Q8" s="37">
        <f t="shared" ref="Q8:Q15" si="8">(G8*E8*(O8^2)*I8)^(1/2)</f>
        <v>0</v>
      </c>
      <c r="R8" s="5"/>
      <c r="S8" s="2">
        <f>(6*$R8*(40.5+15*$B8)+270)*$C8</f>
        <v>1.1609999999999999E-2</v>
      </c>
      <c r="T8" s="6">
        <f>S8/C8</f>
        <v>270</v>
      </c>
    </row>
    <row r="9" spans="1:20" x14ac:dyDescent="0.25">
      <c r="A9" s="5">
        <v>22</v>
      </c>
      <c r="B9" s="2">
        <v>0.64400000000000002</v>
      </c>
      <c r="C9" s="4">
        <f>(5.6/100)/1000</f>
        <v>5.5999999999999992E-5</v>
      </c>
      <c r="D9" s="27">
        <f t="shared" si="0"/>
        <v>0.32573289269480415</v>
      </c>
      <c r="E9" s="37">
        <f>D9/$D$7</f>
        <v>0.6290130796670631</v>
      </c>
      <c r="F9" s="5">
        <v>24</v>
      </c>
      <c r="G9" s="37">
        <f>F9/$F$7</f>
        <v>1.7142857142857142</v>
      </c>
      <c r="H9" s="2">
        <f>(4*$F9*(31+10*$B9)+152)*$C9</f>
        <v>0.20978943999999997</v>
      </c>
      <c r="I9" s="43">
        <f t="shared" si="3"/>
        <v>2.5585575741018975</v>
      </c>
      <c r="J9" s="2">
        <f>H9/C9</f>
        <v>3746.24</v>
      </c>
      <c r="K9" s="2">
        <f t="shared" si="4"/>
        <v>25</v>
      </c>
      <c r="L9" s="43">
        <f t="shared" si="5"/>
        <v>1</v>
      </c>
      <c r="M9" s="2">
        <f t="shared" si="2"/>
        <v>52.910194145139059</v>
      </c>
      <c r="N9" s="4">
        <f t="shared" si="6"/>
        <v>25</v>
      </c>
      <c r="O9" s="50">
        <f t="shared" si="7"/>
        <v>1</v>
      </c>
      <c r="P9" s="6">
        <f>(F9*PI()*((B9/2)^2)*M9^2*H9)^(1/2)</f>
        <v>67.759094841155985</v>
      </c>
      <c r="Q9" s="37">
        <f t="shared" si="8"/>
        <v>1.6609977272838969</v>
      </c>
      <c r="R9" s="5"/>
      <c r="S9" s="2">
        <f>(6*$R9*(40.5+15*$B9)+270)*$C9</f>
        <v>1.5119999999999998E-2</v>
      </c>
      <c r="T9" s="6">
        <f>S9/C9</f>
        <v>270</v>
      </c>
    </row>
    <row r="10" spans="1:20" hidden="1" x14ac:dyDescent="0.25">
      <c r="A10" s="5">
        <v>23</v>
      </c>
      <c r="B10" s="2">
        <v>0.57299999999999995</v>
      </c>
      <c r="C10" s="4">
        <f>(7/100)/1000</f>
        <v>7.0000000000000007E-5</v>
      </c>
      <c r="D10" s="27">
        <f t="shared" si="0"/>
        <v>0.25786899359012072</v>
      </c>
      <c r="E10" s="37">
        <f>D10/$D$7</f>
        <v>0.4979631269868231</v>
      </c>
      <c r="F10" s="5"/>
      <c r="G10" s="37">
        <f>F10/$F$7</f>
        <v>0</v>
      </c>
      <c r="H10" s="2">
        <f>(4*$F10*(31+10*$B10)+152)*$C10</f>
        <v>1.0640000000000002E-2</v>
      </c>
      <c r="I10" s="43">
        <f t="shared" si="3"/>
        <v>0.12976369348449665</v>
      </c>
      <c r="J10" s="2">
        <f>H10/C10</f>
        <v>152</v>
      </c>
      <c r="K10" s="2">
        <f t="shared" si="4"/>
        <v>25</v>
      </c>
      <c r="L10" s="43">
        <f t="shared" si="5"/>
        <v>1</v>
      </c>
      <c r="M10" s="2">
        <f t="shared" si="2"/>
        <v>1043.2330827067667</v>
      </c>
      <c r="N10" s="4">
        <f t="shared" si="6"/>
        <v>25</v>
      </c>
      <c r="O10" s="50">
        <f t="shared" si="7"/>
        <v>1</v>
      </c>
      <c r="P10" s="6">
        <f>(F10*PI()*((B10/2)^2)*M10^2*H10)^(1/2)</f>
        <v>0</v>
      </c>
      <c r="Q10" s="37">
        <f t="shared" si="8"/>
        <v>0</v>
      </c>
      <c r="R10" s="5"/>
      <c r="S10" s="2">
        <f>(6*$R10*(40.5+15*$B10)+270)*$C10</f>
        <v>1.8900000000000004E-2</v>
      </c>
      <c r="T10" s="6">
        <f>S10/C10</f>
        <v>270</v>
      </c>
    </row>
    <row r="11" spans="1:20" x14ac:dyDescent="0.25">
      <c r="A11" s="5">
        <v>24</v>
      </c>
      <c r="B11" s="2">
        <v>0.51100000000000001</v>
      </c>
      <c r="C11" s="4">
        <f>(8.7/100)/1000</f>
        <v>8.7000000000000001E-5</v>
      </c>
      <c r="D11" s="27">
        <f t="shared" si="0"/>
        <v>0.20508395382450509</v>
      </c>
      <c r="E11" s="37">
        <f>D11/$D$7</f>
        <v>0.39603151010701543</v>
      </c>
      <c r="F11" s="5">
        <v>37</v>
      </c>
      <c r="G11" s="37">
        <f>F11/$F$7</f>
        <v>2.6428571428571428</v>
      </c>
      <c r="H11" s="2">
        <f>(4*$F11*(31+10*$B11)+152)*$C11</f>
        <v>0.47817635999999997</v>
      </c>
      <c r="I11" s="43">
        <f t="shared" si="3"/>
        <v>5.8317603957304804</v>
      </c>
      <c r="J11" s="2">
        <f>H11/C11</f>
        <v>5496.28</v>
      </c>
      <c r="K11" s="2">
        <f t="shared" si="4"/>
        <v>25</v>
      </c>
      <c r="L11" s="43">
        <f t="shared" si="5"/>
        <v>1</v>
      </c>
      <c r="M11" s="2">
        <f t="shared" si="2"/>
        <v>23.213192722450771</v>
      </c>
      <c r="N11" s="4">
        <f t="shared" si="6"/>
        <v>23.213192722450771</v>
      </c>
      <c r="O11" s="50">
        <f t="shared" si="7"/>
        <v>0.92852770889803082</v>
      </c>
      <c r="P11" s="6">
        <f>(F11*PI()*((B11/2)^2)*M11^2*H11)^(1/2)</f>
        <v>44.217647252532153</v>
      </c>
      <c r="Q11" s="37">
        <f t="shared" si="8"/>
        <v>2.2940158781801001</v>
      </c>
      <c r="R11" s="5"/>
      <c r="S11" s="2">
        <f>(6*$R11*(40.5+15*$B11)+270)*$C11</f>
        <v>2.349E-2</v>
      </c>
      <c r="T11" s="6">
        <f>S11/C11</f>
        <v>270</v>
      </c>
    </row>
    <row r="12" spans="1:20" hidden="1" x14ac:dyDescent="0.25">
      <c r="A12" s="5">
        <v>25</v>
      </c>
      <c r="B12" s="2">
        <v>0.45500000000000002</v>
      </c>
      <c r="C12" s="4">
        <f>(10.5/100)/1000</f>
        <v>1.0499999999999999E-4</v>
      </c>
      <c r="D12" s="27">
        <f t="shared" si="0"/>
        <v>0.16259705477735675</v>
      </c>
      <c r="E12" s="37">
        <f>D12/$D$7</f>
        <v>0.31398632580261598</v>
      </c>
      <c r="F12" s="5"/>
      <c r="G12" s="37">
        <f>F12/$F$7</f>
        <v>0</v>
      </c>
      <c r="H12" s="2">
        <f>(4*$F12*(31+10*$B12)+152)*$C12</f>
        <v>1.5959999999999998E-2</v>
      </c>
      <c r="I12" s="43">
        <f t="shared" si="3"/>
        <v>0.19464554022674491</v>
      </c>
      <c r="J12" s="2">
        <f>H12/C12</f>
        <v>152</v>
      </c>
      <c r="K12" s="2">
        <f t="shared" si="4"/>
        <v>25</v>
      </c>
      <c r="L12" s="43">
        <f t="shared" si="5"/>
        <v>1</v>
      </c>
      <c r="M12" s="2">
        <f t="shared" si="2"/>
        <v>695.48872180451133</v>
      </c>
      <c r="N12" s="4">
        <f t="shared" si="6"/>
        <v>25</v>
      </c>
      <c r="O12" s="50">
        <f t="shared" si="7"/>
        <v>1</v>
      </c>
      <c r="P12" s="6">
        <f>(F12*PI()*((B12/2)^2)*M12^2*H12)^(1/2)</f>
        <v>0</v>
      </c>
      <c r="Q12" s="37">
        <f t="shared" si="8"/>
        <v>0</v>
      </c>
      <c r="R12" s="5"/>
      <c r="S12" s="2">
        <f>(6*$R12*(40.5+15*$B12)+270)*$C12</f>
        <v>2.8349999999999997E-2</v>
      </c>
      <c r="T12" s="6">
        <f>S12/C12</f>
        <v>270</v>
      </c>
    </row>
    <row r="13" spans="1:20" x14ac:dyDescent="0.25">
      <c r="A13" s="5">
        <v>26</v>
      </c>
      <c r="B13" s="2">
        <v>0.40500000000000003</v>
      </c>
      <c r="C13" s="4">
        <f>(13/100)/1000</f>
        <v>1.3000000000000002E-4</v>
      </c>
      <c r="D13" s="27">
        <f t="shared" si="0"/>
        <v>0.12882493375126647</v>
      </c>
      <c r="E13" s="37">
        <f>D13/$D$7</f>
        <v>0.24876998956538621</v>
      </c>
      <c r="F13" s="5">
        <v>57</v>
      </c>
      <c r="G13" s="37">
        <f>F13/$F$7</f>
        <v>4.0714285714285712</v>
      </c>
      <c r="H13" s="2">
        <f>(4*$F13*(31+10*$B13)+152)*$C13</f>
        <v>1.0586420000000001</v>
      </c>
      <c r="I13" s="43">
        <f t="shared" si="3"/>
        <v>12.911024059944971</v>
      </c>
      <c r="J13" s="2">
        <f>H13/C13</f>
        <v>8143.4</v>
      </c>
      <c r="K13" s="2">
        <f t="shared" si="4"/>
        <v>20.970261901568232</v>
      </c>
      <c r="L13" s="43">
        <f t="shared" si="5"/>
        <v>0.83881047606272929</v>
      </c>
      <c r="M13" s="2">
        <f t="shared" si="2"/>
        <v>10.485130950784116</v>
      </c>
      <c r="N13" s="4">
        <f t="shared" si="6"/>
        <v>10.485130950784116</v>
      </c>
      <c r="O13" s="50">
        <f t="shared" si="7"/>
        <v>0.41940523803136465</v>
      </c>
      <c r="P13" s="6">
        <f>(F13*PI()*((B13/2)^2)*M13^2*H13)^(1/2)</f>
        <v>29.233836287398304</v>
      </c>
      <c r="Q13" s="37">
        <f t="shared" si="8"/>
        <v>1.5166542950692359</v>
      </c>
      <c r="R13" s="5"/>
      <c r="S13" s="2">
        <f>(6*$R13*(40.5+15*$B13)+270)*$C13</f>
        <v>3.5100000000000006E-2</v>
      </c>
      <c r="T13" s="6">
        <f>S13/C13</f>
        <v>270</v>
      </c>
    </row>
    <row r="14" spans="1:20" hidden="1" x14ac:dyDescent="0.25">
      <c r="A14" s="7">
        <v>27</v>
      </c>
      <c r="B14" s="3">
        <v>0.36099999999999999</v>
      </c>
      <c r="C14" s="4">
        <f>(15.5/100)/1000</f>
        <v>1.55E-4</v>
      </c>
      <c r="D14" s="27">
        <f t="shared" si="0"/>
        <v>0.10235387405211885</v>
      </c>
      <c r="E14" s="37">
        <f>D14/$D$7</f>
        <v>0.19765251522725616</v>
      </c>
      <c r="F14" s="5"/>
      <c r="G14" s="37">
        <f>F14/$F$7</f>
        <v>0</v>
      </c>
      <c r="H14" s="2">
        <f>(4*$F14*(31+10*$B14)+152)*$C14</f>
        <v>2.3560000000000001E-2</v>
      </c>
      <c r="I14" s="43">
        <f t="shared" si="3"/>
        <v>0.28733389271567111</v>
      </c>
      <c r="J14" s="2">
        <f>H14/C14</f>
        <v>152</v>
      </c>
      <c r="K14" s="2">
        <f t="shared" si="4"/>
        <v>25</v>
      </c>
      <c r="L14" s="43">
        <f t="shared" si="5"/>
        <v>1</v>
      </c>
      <c r="M14" s="2">
        <f t="shared" si="2"/>
        <v>471.13752122241084</v>
      </c>
      <c r="N14" s="4">
        <f t="shared" si="6"/>
        <v>25</v>
      </c>
      <c r="O14" s="50">
        <f t="shared" si="7"/>
        <v>1</v>
      </c>
      <c r="P14" s="6">
        <f>(F14*PI()*((B14/2)^2)*M14^2*H14)^(1/2)</f>
        <v>0</v>
      </c>
      <c r="Q14" s="37">
        <f t="shared" si="8"/>
        <v>0</v>
      </c>
      <c r="R14" s="5"/>
      <c r="S14" s="2">
        <f>(6*$R14*(40.5+15*$B14)+270)*$C14</f>
        <v>4.1849999999999998E-2</v>
      </c>
      <c r="T14" s="6">
        <f>S14/C14</f>
        <v>270</v>
      </c>
    </row>
    <row r="15" spans="1:20" ht="15.75" thickBot="1" x14ac:dyDescent="0.3">
      <c r="A15" s="8">
        <v>28</v>
      </c>
      <c r="B15" s="9">
        <v>0.32100000000000001</v>
      </c>
      <c r="C15" s="10">
        <f>(22.1/100)/1000</f>
        <v>2.2100000000000001E-4</v>
      </c>
      <c r="D15" s="27">
        <f t="shared" si="0"/>
        <v>8.092821215463647E-2</v>
      </c>
      <c r="E15" s="37">
        <f>D15/$D$7</f>
        <v>0.15627805819117183</v>
      </c>
      <c r="F15" s="11">
        <v>83</v>
      </c>
      <c r="G15" s="37">
        <f>F15/$F$7</f>
        <v>5.9285714285714288</v>
      </c>
      <c r="H15" s="16">
        <f>(4*$F15*(31+10*$B15)+152)*$C15</f>
        <v>2.5436481200000003</v>
      </c>
      <c r="I15" s="43">
        <f t="shared" si="3"/>
        <v>31.021914941362418</v>
      </c>
      <c r="J15" s="16">
        <f>H15/C15</f>
        <v>11509.720000000001</v>
      </c>
      <c r="K15" s="2">
        <f t="shared" si="4"/>
        <v>8.7276222781946728</v>
      </c>
      <c r="L15" s="43">
        <f t="shared" si="5"/>
        <v>0.34910489112778692</v>
      </c>
      <c r="M15" s="16">
        <f t="shared" si="2"/>
        <v>4.3638111390973364</v>
      </c>
      <c r="N15" s="4">
        <f t="shared" si="6"/>
        <v>4.3638111390973364</v>
      </c>
      <c r="O15" s="50">
        <f t="shared" si="7"/>
        <v>0.17455244556389346</v>
      </c>
      <c r="P15" s="12">
        <f>(F15*PI()*((B15/2)^2)*M15^2*H15)^(1/2)</f>
        <v>18.037796457383376</v>
      </c>
      <c r="Q15" s="37">
        <f t="shared" si="8"/>
        <v>0.93580265011157104</v>
      </c>
      <c r="R15" s="11"/>
      <c r="S15" s="16">
        <f>(6*$R15*(40.5+15*$B15)+270)*$C15</f>
        <v>5.9670000000000001E-2</v>
      </c>
      <c r="T15" s="6">
        <f>S15/C15</f>
        <v>270</v>
      </c>
    </row>
    <row r="18" spans="3:3" x14ac:dyDescent="0.25">
      <c r="C18" t="s">
        <v>13</v>
      </c>
    </row>
    <row r="19" spans="3:3" x14ac:dyDescent="0.25">
      <c r="C19" t="s">
        <v>14</v>
      </c>
    </row>
    <row r="20" spans="3:3" x14ac:dyDescent="0.25">
      <c r="C20" t="s">
        <v>15</v>
      </c>
    </row>
  </sheetData>
  <mergeCells count="1">
    <mergeCell ref="R1:T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Jiménez</dc:creator>
  <cp:lastModifiedBy>Joaquín Jiménez</cp:lastModifiedBy>
  <dcterms:created xsi:type="dcterms:W3CDTF">2019-08-01T23:07:31Z</dcterms:created>
  <dcterms:modified xsi:type="dcterms:W3CDTF">2019-08-10T23:20:12Z</dcterms:modified>
</cp:coreProperties>
</file>