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joanginer/sites/smartDescriptor/results/"/>
    </mc:Choice>
  </mc:AlternateContent>
  <xr:revisionPtr revIDLastSave="0" documentId="13_ncr:1_{0B40D907-31B2-AE4D-BFE8-80F183CC08DE}" xr6:coauthVersionLast="47" xr6:coauthVersionMax="47" xr10:uidLastSave="{00000000-0000-0000-0000-000000000000}"/>
  <bookViews>
    <workbookView xWindow="1260" yWindow="-18680" windowWidth="26700" windowHeight="17380" activeTab="10" xr2:uid="{A62E2C0B-92E9-F24E-9437-578CA591EF2B}"/>
  </bookViews>
  <sheets>
    <sheet name="Main" sheetId="17" r:id="rId1"/>
    <sheet name="Overall" sheetId="3" r:id="rId2"/>
    <sheet name="GPT" sheetId="1" r:id="rId3"/>
    <sheet name="FLANUL2" sheetId="2" r:id="rId4"/>
    <sheet name="Mosquito" sheetId="4" r:id="rId5"/>
    <sheet name="Body" sheetId="5" r:id="rId6"/>
    <sheet name="Quechua" sheetId="6" r:id="rId7"/>
    <sheet name="Melanoma" sheetId="8" r:id="rId8"/>
    <sheet name="Leaf" sheetId="9" r:id="rId9"/>
    <sheet name="Antimicrobial" sheetId="10" r:id="rId10"/>
    <sheet name="Albanian" sheetId="11" r:id="rId11"/>
    <sheet name="Prostate" sheetId="12" r:id="rId12"/>
    <sheet name="Kenya" sheetId="13" r:id="rId13"/>
    <sheet name="Indonesia" sheetId="14" r:id="rId14"/>
    <sheet name="Lontar" sheetId="15" r:id="rId15"/>
    <sheet name="Kurdish" sheetId="16"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9" l="1"/>
  <c r="G27" i="3" l="1"/>
  <c r="E28" i="16" l="1"/>
  <c r="E27" i="16"/>
  <c r="E26" i="16"/>
  <c r="E25" i="16"/>
  <c r="E24" i="16"/>
  <c r="E23" i="16"/>
  <c r="E22" i="16"/>
  <c r="E21" i="16"/>
  <c r="E20" i="16"/>
  <c r="E19" i="16"/>
  <c r="E18" i="16"/>
  <c r="E16" i="16"/>
  <c r="E15" i="16"/>
  <c r="E14" i="16"/>
  <c r="E13" i="16"/>
  <c r="E12" i="16"/>
  <c r="E11" i="16"/>
  <c r="E10" i="16"/>
  <c r="E9" i="16"/>
  <c r="E8" i="16"/>
  <c r="E7" i="16"/>
  <c r="E6" i="16"/>
  <c r="E5" i="16"/>
  <c r="E3" i="16"/>
  <c r="E2" i="16"/>
  <c r="E28" i="15"/>
  <c r="E27" i="15"/>
  <c r="E26" i="15"/>
  <c r="E25" i="15"/>
  <c r="E24" i="15"/>
  <c r="E23" i="15"/>
  <c r="E22" i="15"/>
  <c r="E21" i="15"/>
  <c r="E20" i="15"/>
  <c r="E19" i="15"/>
  <c r="E18" i="15"/>
  <c r="E16" i="15"/>
  <c r="E15" i="15"/>
  <c r="E14" i="15"/>
  <c r="E13" i="15"/>
  <c r="E12" i="15"/>
  <c r="E11" i="15"/>
  <c r="E10" i="15"/>
  <c r="E9" i="15"/>
  <c r="E8" i="15"/>
  <c r="E7" i="15"/>
  <c r="E6" i="15"/>
  <c r="E5" i="15"/>
  <c r="E4" i="15"/>
  <c r="E3" i="15"/>
  <c r="E2" i="15"/>
  <c r="C130" i="2"/>
  <c r="C129" i="2"/>
  <c r="C128" i="2"/>
  <c r="C127" i="2"/>
  <c r="C126" i="2"/>
  <c r="C125" i="2"/>
  <c r="C124" i="2"/>
  <c r="C123" i="2"/>
  <c r="C122" i="2"/>
  <c r="C121" i="2"/>
  <c r="C120" i="2"/>
  <c r="C119" i="2"/>
  <c r="C118" i="2"/>
  <c r="C117" i="2"/>
  <c r="C116" i="2"/>
  <c r="C113" i="2"/>
  <c r="C112" i="2"/>
  <c r="C111" i="2"/>
  <c r="C110" i="2"/>
  <c r="C109" i="2"/>
  <c r="C108" i="2"/>
  <c r="C107" i="2"/>
  <c r="C106" i="2"/>
  <c r="C105" i="2"/>
  <c r="C104" i="2"/>
  <c r="C103" i="2"/>
  <c r="C102" i="2"/>
  <c r="C101" i="2"/>
  <c r="C100" i="2"/>
  <c r="C99" i="2"/>
  <c r="C98" i="2"/>
  <c r="C97" i="2"/>
  <c r="C96" i="2"/>
  <c r="C95" i="2"/>
  <c r="C94" i="2"/>
  <c r="C91" i="2"/>
  <c r="C90" i="2"/>
  <c r="C89" i="2"/>
  <c r="C88" i="2"/>
  <c r="C87" i="2"/>
  <c r="C86" i="2"/>
  <c r="C85" i="2"/>
  <c r="C84" i="2"/>
  <c r="C83" i="2"/>
  <c r="C82" i="2"/>
  <c r="C81" i="2"/>
  <c r="C80" i="2"/>
  <c r="C79" i="2"/>
  <c r="C78" i="2"/>
  <c r="C77" i="2"/>
  <c r="C76" i="2"/>
  <c r="C75" i="2"/>
  <c r="C74" i="2"/>
  <c r="C73" i="2"/>
  <c r="C72" i="2"/>
  <c r="C69" i="2"/>
  <c r="C68" i="2"/>
  <c r="C67" i="2"/>
  <c r="C66" i="2"/>
  <c r="C65" i="2"/>
  <c r="C64" i="2"/>
  <c r="C63" i="2"/>
  <c r="C62" i="2"/>
  <c r="C61" i="2"/>
  <c r="C60" i="2"/>
  <c r="C59" i="2"/>
  <c r="C58" i="2"/>
  <c r="C57" i="2"/>
  <c r="C56" i="2"/>
  <c r="C55" i="2"/>
  <c r="C52" i="2"/>
  <c r="C51" i="2"/>
  <c r="C50" i="2"/>
  <c r="C49" i="2"/>
  <c r="C48" i="2"/>
  <c r="C47" i="2"/>
  <c r="C46" i="2"/>
  <c r="C45" i="2"/>
  <c r="C44" i="2"/>
  <c r="C43" i="2"/>
  <c r="C42" i="2"/>
  <c r="C41" i="2"/>
  <c r="C40" i="2"/>
  <c r="C39" i="2"/>
  <c r="C38" i="2"/>
  <c r="C35" i="2"/>
  <c r="C34" i="2"/>
  <c r="C33" i="2"/>
  <c r="C32" i="2"/>
  <c r="C31" i="2"/>
  <c r="C30" i="2"/>
  <c r="C29" i="2"/>
  <c r="C28" i="2"/>
  <c r="C27" i="2"/>
  <c r="C26" i="2"/>
  <c r="C25" i="2"/>
  <c r="C24" i="2"/>
  <c r="C23" i="2"/>
  <c r="C22" i="2"/>
  <c r="C21" i="2"/>
  <c r="C18" i="2"/>
  <c r="C17" i="2"/>
  <c r="C16" i="2"/>
  <c r="C15" i="2"/>
  <c r="C14" i="2"/>
  <c r="C13" i="2"/>
  <c r="C12" i="2"/>
  <c r="C11" i="2"/>
  <c r="C10" i="2"/>
  <c r="C9" i="2"/>
  <c r="C8" i="2"/>
  <c r="C7" i="2"/>
  <c r="C6" i="2"/>
  <c r="C5" i="2"/>
  <c r="C4" i="2"/>
  <c r="C130" i="1"/>
  <c r="C129" i="1"/>
  <c r="C128" i="1"/>
  <c r="C127" i="1"/>
  <c r="C126" i="1"/>
  <c r="C125" i="1"/>
  <c r="C124" i="1"/>
  <c r="C123" i="1"/>
  <c r="C122" i="1"/>
  <c r="C121" i="1"/>
  <c r="C120" i="1"/>
  <c r="C119" i="1"/>
  <c r="C118" i="1"/>
  <c r="C117" i="1"/>
  <c r="C116" i="1"/>
  <c r="C113" i="1"/>
  <c r="C112" i="1"/>
  <c r="C111" i="1"/>
  <c r="C110" i="1"/>
  <c r="C109" i="1"/>
  <c r="C108" i="1"/>
  <c r="C107" i="1"/>
  <c r="C106" i="1"/>
  <c r="C105" i="1"/>
  <c r="C104" i="1"/>
  <c r="C103" i="1"/>
  <c r="C102" i="1"/>
  <c r="C101" i="1"/>
  <c r="C100" i="1"/>
  <c r="C99" i="1"/>
  <c r="C98" i="1"/>
  <c r="C97" i="1"/>
  <c r="C96" i="1"/>
  <c r="C95" i="1"/>
  <c r="C94" i="1"/>
  <c r="C91" i="1"/>
  <c r="C90" i="1"/>
  <c r="C89" i="1"/>
  <c r="C88" i="1"/>
  <c r="C87" i="1"/>
  <c r="C86" i="1"/>
  <c r="C81" i="1"/>
  <c r="C76" i="1"/>
  <c r="C69" i="1"/>
  <c r="C64" i="1"/>
  <c r="C59" i="1"/>
  <c r="C52" i="1"/>
  <c r="C47" i="1"/>
  <c r="C42" i="1"/>
  <c r="C35" i="1"/>
  <c r="C30" i="1"/>
  <c r="C25" i="1"/>
  <c r="C8" i="1"/>
  <c r="C13" i="1"/>
  <c r="C80" i="1"/>
  <c r="C79" i="1"/>
  <c r="C78" i="1"/>
  <c r="C77" i="1"/>
  <c r="C75" i="1"/>
  <c r="C74" i="1"/>
  <c r="C73" i="1"/>
  <c r="C72" i="1"/>
  <c r="C85" i="1"/>
  <c r="C84" i="1"/>
  <c r="C83" i="1"/>
  <c r="C82" i="1"/>
  <c r="C68" i="1"/>
  <c r="C67" i="1"/>
  <c r="C66" i="1"/>
  <c r="C65" i="1"/>
  <c r="C63" i="1"/>
  <c r="C62" i="1"/>
  <c r="C61" i="1"/>
  <c r="C60" i="1"/>
  <c r="C58" i="1"/>
  <c r="C57" i="1"/>
  <c r="C56" i="1"/>
  <c r="C55" i="1"/>
  <c r="C51" i="1"/>
  <c r="C50" i="1"/>
  <c r="C49" i="1"/>
  <c r="C48" i="1"/>
  <c r="C46" i="1"/>
  <c r="C45" i="1"/>
  <c r="C44" i="1"/>
  <c r="C43" i="1"/>
  <c r="C41" i="1"/>
  <c r="C40" i="1"/>
  <c r="C39" i="1"/>
  <c r="C38" i="1"/>
  <c r="C34" i="1"/>
  <c r="C33" i="1"/>
  <c r="C32" i="1"/>
  <c r="C31" i="1"/>
  <c r="C29" i="1"/>
  <c r="C28" i="1"/>
  <c r="C27" i="1"/>
  <c r="C26" i="1"/>
  <c r="C22" i="1"/>
  <c r="C15" i="1"/>
  <c r="C10" i="1"/>
  <c r="C9" i="1"/>
  <c r="C5" i="1"/>
  <c r="C24" i="1"/>
  <c r="C23" i="1"/>
  <c r="C21" i="1"/>
  <c r="C18" i="1"/>
  <c r="C17" i="1"/>
  <c r="C16" i="1"/>
  <c r="C14" i="1"/>
  <c r="C12" i="1"/>
  <c r="C11" i="1"/>
  <c r="C7" i="1"/>
  <c r="C6" i="1"/>
  <c r="C4" i="1"/>
  <c r="D28" i="16"/>
  <c r="D27" i="16"/>
  <c r="D26" i="16"/>
  <c r="D25" i="16"/>
  <c r="D24" i="16"/>
  <c r="D23" i="16"/>
  <c r="D22" i="16"/>
  <c r="D21" i="16"/>
  <c r="D20" i="16"/>
  <c r="D19" i="16"/>
  <c r="D18" i="16"/>
  <c r="D16" i="16"/>
  <c r="D15" i="16"/>
  <c r="D14" i="16"/>
  <c r="D13" i="16"/>
  <c r="D12" i="16"/>
  <c r="D11" i="16"/>
  <c r="D10" i="16"/>
  <c r="D9" i="16"/>
  <c r="D8" i="16"/>
  <c r="D7" i="16"/>
  <c r="D6" i="16"/>
  <c r="D5" i="16"/>
  <c r="D4" i="16"/>
  <c r="D3" i="16"/>
  <c r="D2" i="16"/>
  <c r="D28" i="15"/>
  <c r="D27" i="15"/>
  <c r="D26" i="15"/>
  <c r="D25" i="15"/>
  <c r="D24" i="15"/>
  <c r="D23" i="15"/>
  <c r="D22" i="15"/>
  <c r="D21" i="15"/>
  <c r="D20" i="15"/>
  <c r="D19" i="15"/>
  <c r="D18" i="15"/>
  <c r="D17" i="15"/>
  <c r="D16" i="15"/>
  <c r="D15" i="15"/>
  <c r="D14" i="15"/>
  <c r="D13" i="15"/>
  <c r="D12" i="15"/>
  <c r="D11" i="15"/>
  <c r="D9" i="15"/>
  <c r="D8" i="15"/>
  <c r="D7" i="15"/>
  <c r="D6" i="15"/>
  <c r="D5" i="15"/>
  <c r="D4" i="15"/>
  <c r="D3" i="15"/>
  <c r="D2" i="15"/>
  <c r="E28" i="14"/>
  <c r="D28" i="14"/>
  <c r="E27" i="14"/>
  <c r="D27" i="14"/>
  <c r="E26" i="14"/>
  <c r="D26" i="14"/>
  <c r="E25" i="14"/>
  <c r="D25" i="14"/>
  <c r="E24" i="14"/>
  <c r="D24" i="14"/>
  <c r="E23" i="14"/>
  <c r="D23" i="14"/>
  <c r="E22" i="14"/>
  <c r="D22" i="14"/>
  <c r="E21" i="14"/>
  <c r="D21" i="14"/>
  <c r="E20" i="14"/>
  <c r="D20" i="14"/>
  <c r="E19" i="14"/>
  <c r="D19" i="14"/>
  <c r="E18" i="14"/>
  <c r="D18" i="14"/>
  <c r="E17" i="14"/>
  <c r="D17" i="14"/>
  <c r="E16" i="14"/>
  <c r="D16" i="14"/>
  <c r="E15" i="14"/>
  <c r="D15" i="14"/>
  <c r="E14" i="14"/>
  <c r="D14" i="14"/>
  <c r="E13" i="14"/>
  <c r="D13" i="14"/>
  <c r="E12" i="14"/>
  <c r="D12" i="14"/>
  <c r="E11" i="14"/>
  <c r="D11" i="14"/>
  <c r="E10" i="14"/>
  <c r="D10" i="14"/>
  <c r="E9" i="14"/>
  <c r="D9" i="14"/>
  <c r="E8" i="14"/>
  <c r="D8" i="14"/>
  <c r="E7" i="14"/>
  <c r="D7" i="14"/>
  <c r="E6" i="14"/>
  <c r="D6" i="14"/>
  <c r="E5" i="14"/>
  <c r="D5" i="14"/>
  <c r="E4" i="14"/>
  <c r="D4" i="14"/>
  <c r="E3" i="14"/>
  <c r="D3" i="14"/>
  <c r="E2" i="14"/>
  <c r="D2" i="14"/>
  <c r="E29" i="13"/>
  <c r="D29" i="13"/>
  <c r="E28" i="13"/>
  <c r="D28" i="13"/>
  <c r="E27" i="13"/>
  <c r="D27" i="13"/>
  <c r="E26" i="13"/>
  <c r="D26" i="13"/>
  <c r="E25" i="13"/>
  <c r="D25" i="13"/>
  <c r="E24" i="13"/>
  <c r="D24" i="13"/>
  <c r="E23" i="13"/>
  <c r="D23" i="13"/>
  <c r="E22" i="13"/>
  <c r="D22" i="13"/>
  <c r="E21" i="13"/>
  <c r="D21" i="13"/>
  <c r="E20" i="13"/>
  <c r="D20" i="13"/>
  <c r="E19" i="13"/>
  <c r="D19" i="13"/>
  <c r="E18" i="13"/>
  <c r="D18" i="13"/>
  <c r="E17" i="13"/>
  <c r="D17" i="13"/>
  <c r="E16" i="13"/>
  <c r="D16" i="13"/>
  <c r="E15" i="13"/>
  <c r="D15" i="13"/>
  <c r="E14" i="13"/>
  <c r="D14" i="13"/>
  <c r="E13" i="13"/>
  <c r="D13" i="13"/>
  <c r="E12" i="13"/>
  <c r="D12" i="13"/>
  <c r="E11" i="13"/>
  <c r="D11" i="13"/>
  <c r="E10" i="13"/>
  <c r="D10" i="13"/>
  <c r="E9" i="13"/>
  <c r="D9" i="13"/>
  <c r="E8" i="13"/>
  <c r="D8" i="13"/>
  <c r="E7" i="13"/>
  <c r="D7" i="13"/>
  <c r="E6" i="13"/>
  <c r="D6" i="13"/>
  <c r="E5" i="13"/>
  <c r="D5" i="13"/>
  <c r="E4" i="13"/>
  <c r="D4" i="13"/>
  <c r="E3" i="13"/>
  <c r="D3" i="13"/>
  <c r="E2" i="13"/>
  <c r="D2" i="13"/>
  <c r="F28" i="12"/>
  <c r="E28" i="12"/>
  <c r="D28" i="12"/>
  <c r="F27" i="12"/>
  <c r="E27" i="12"/>
  <c r="D27" i="12"/>
  <c r="F26" i="12"/>
  <c r="E26" i="12"/>
  <c r="D26" i="12"/>
  <c r="F25" i="12"/>
  <c r="E25" i="12"/>
  <c r="D25" i="12"/>
  <c r="F24" i="12"/>
  <c r="E24" i="12"/>
  <c r="D24" i="12"/>
  <c r="F23" i="12"/>
  <c r="E23" i="12"/>
  <c r="D23" i="12"/>
  <c r="F22" i="12"/>
  <c r="E22" i="12"/>
  <c r="D22" i="12"/>
  <c r="F21" i="12"/>
  <c r="E21" i="12"/>
  <c r="D21" i="12"/>
  <c r="F20" i="12"/>
  <c r="E20" i="12"/>
  <c r="D20" i="12"/>
  <c r="F19" i="12"/>
  <c r="E19" i="12"/>
  <c r="D19" i="12"/>
  <c r="F18" i="12"/>
  <c r="E18" i="12"/>
  <c r="D18" i="12"/>
  <c r="F17" i="12"/>
  <c r="E17" i="12"/>
  <c r="D17" i="12"/>
  <c r="F16" i="12"/>
  <c r="E16" i="12"/>
  <c r="D16" i="12"/>
  <c r="F15" i="12"/>
  <c r="E15" i="12"/>
  <c r="D15" i="12"/>
  <c r="F14" i="12"/>
  <c r="E14" i="12"/>
  <c r="D14" i="12"/>
  <c r="F13" i="12"/>
  <c r="E13" i="12"/>
  <c r="D13" i="12"/>
  <c r="F12" i="12"/>
  <c r="E12" i="12"/>
  <c r="D12" i="12"/>
  <c r="F11" i="12"/>
  <c r="E11" i="12"/>
  <c r="D11" i="12"/>
  <c r="F10" i="12"/>
  <c r="E10" i="12"/>
  <c r="D10" i="12"/>
  <c r="F9" i="12"/>
  <c r="E9" i="12"/>
  <c r="D9" i="12"/>
  <c r="F8" i="12"/>
  <c r="E8" i="12"/>
  <c r="D8" i="12"/>
  <c r="F7" i="12"/>
  <c r="E7" i="12"/>
  <c r="D7" i="12"/>
  <c r="F6" i="12"/>
  <c r="E6" i="12"/>
  <c r="D6" i="12"/>
  <c r="F5" i="12"/>
  <c r="E5" i="12"/>
  <c r="D5" i="12"/>
  <c r="F4" i="12"/>
  <c r="E4" i="12"/>
  <c r="D4" i="12"/>
  <c r="F3" i="12"/>
  <c r="E3" i="12"/>
  <c r="D3" i="12"/>
  <c r="F2" i="12"/>
  <c r="E2" i="12"/>
  <c r="D2" i="12"/>
  <c r="D33" i="2" l="1"/>
  <c r="D126" i="2"/>
  <c r="D128" i="2"/>
  <c r="D130" i="2"/>
  <c r="D123" i="2"/>
  <c r="D125" i="2"/>
  <c r="D121" i="2"/>
  <c r="D120" i="2"/>
  <c r="D118" i="2"/>
  <c r="D116" i="2"/>
  <c r="D111" i="2"/>
  <c r="D109" i="2"/>
  <c r="D113" i="2"/>
  <c r="D104" i="2"/>
  <c r="D106" i="2"/>
  <c r="D108" i="2"/>
  <c r="D99" i="2"/>
  <c r="D101" i="2"/>
  <c r="D103" i="2"/>
  <c r="D96" i="2"/>
  <c r="D94" i="2"/>
  <c r="D98" i="2"/>
  <c r="D87" i="2"/>
  <c r="D89" i="2"/>
  <c r="D91" i="2"/>
  <c r="D84" i="2"/>
  <c r="D82" i="2"/>
  <c r="D86" i="2"/>
  <c r="D79" i="2"/>
  <c r="D81" i="2"/>
  <c r="D77" i="2"/>
  <c r="D74" i="2"/>
  <c r="D72" i="2"/>
  <c r="D76" i="2"/>
  <c r="D67" i="2"/>
  <c r="D65" i="2"/>
  <c r="D69" i="2"/>
  <c r="D60" i="2"/>
  <c r="D62" i="2"/>
  <c r="D64" i="2"/>
  <c r="D57" i="2"/>
  <c r="D59" i="2"/>
  <c r="D55" i="2"/>
  <c r="D48" i="2"/>
  <c r="D50" i="2"/>
  <c r="D52" i="2"/>
  <c r="D43" i="2"/>
  <c r="D45" i="2"/>
  <c r="D47" i="2"/>
  <c r="D38" i="2"/>
  <c r="D40" i="2"/>
  <c r="D42" i="2"/>
  <c r="D31" i="2"/>
  <c r="D35" i="2"/>
  <c r="D26" i="2"/>
  <c r="D30" i="2"/>
  <c r="D28" i="2"/>
  <c r="D21" i="2"/>
  <c r="D25" i="2"/>
  <c r="D23" i="2"/>
  <c r="D18" i="2"/>
  <c r="D14" i="2"/>
  <c r="D16" i="2"/>
  <c r="D9" i="2"/>
  <c r="D11" i="2"/>
  <c r="D13" i="2"/>
  <c r="D4" i="2"/>
  <c r="D6" i="2"/>
  <c r="D8" i="2"/>
  <c r="G26" i="3" l="1"/>
  <c r="G25" i="3"/>
  <c r="G24" i="3"/>
  <c r="G23" i="3"/>
  <c r="G22" i="3"/>
  <c r="G21" i="3"/>
  <c r="G20" i="3"/>
  <c r="G19" i="3"/>
  <c r="G18" i="3"/>
  <c r="G17" i="3"/>
  <c r="G16" i="3"/>
  <c r="G15" i="3"/>
  <c r="G14" i="3"/>
  <c r="G13" i="3"/>
  <c r="G12" i="3"/>
  <c r="G11" i="3"/>
  <c r="G10" i="3"/>
  <c r="G9" i="3"/>
  <c r="G8" i="3"/>
  <c r="G7" i="3"/>
  <c r="G6" i="3"/>
  <c r="G5" i="3"/>
  <c r="G4" i="3"/>
  <c r="F26" i="3"/>
  <c r="F25" i="3"/>
  <c r="F24" i="3"/>
  <c r="F23" i="3"/>
  <c r="F22" i="3"/>
  <c r="F21" i="3"/>
  <c r="F20" i="3"/>
  <c r="F19" i="3"/>
  <c r="F18" i="3"/>
  <c r="F17" i="3"/>
  <c r="F16" i="3"/>
  <c r="F15" i="3"/>
  <c r="F14" i="3"/>
  <c r="F13" i="3"/>
  <c r="F12" i="3"/>
  <c r="F11" i="3"/>
  <c r="F10" i="3"/>
  <c r="F9" i="3"/>
  <c r="F8" i="3"/>
  <c r="F7" i="3"/>
  <c r="F6" i="3"/>
  <c r="F5" i="3"/>
  <c r="F4" i="3"/>
  <c r="E28" i="11"/>
  <c r="D28" i="11"/>
  <c r="E27" i="11"/>
  <c r="D27" i="11"/>
  <c r="E26" i="11"/>
  <c r="D26" i="11"/>
  <c r="E25" i="11"/>
  <c r="D25" i="11"/>
  <c r="E24" i="11"/>
  <c r="D24" i="11"/>
  <c r="E23" i="11"/>
  <c r="D23" i="11"/>
  <c r="E22" i="11"/>
  <c r="D22" i="11"/>
  <c r="E21" i="11"/>
  <c r="D21" i="11"/>
  <c r="E20" i="11"/>
  <c r="D20" i="11"/>
  <c r="E19" i="11"/>
  <c r="D19" i="11"/>
  <c r="E18" i="11"/>
  <c r="D18" i="11"/>
  <c r="E17" i="11"/>
  <c r="D17" i="11"/>
  <c r="E16" i="11"/>
  <c r="D16" i="11"/>
  <c r="E15" i="11"/>
  <c r="D15" i="11"/>
  <c r="E14" i="11"/>
  <c r="D14" i="11"/>
  <c r="E13" i="11"/>
  <c r="D13" i="11"/>
  <c r="E12" i="11"/>
  <c r="D12" i="11"/>
  <c r="E11" i="11"/>
  <c r="D11" i="11"/>
  <c r="E10" i="11"/>
  <c r="D10" i="11"/>
  <c r="E9" i="11"/>
  <c r="D9" i="11"/>
  <c r="E8" i="11"/>
  <c r="D8" i="11"/>
  <c r="E7" i="11"/>
  <c r="D7" i="11"/>
  <c r="E6" i="11"/>
  <c r="D6" i="11"/>
  <c r="E5" i="11"/>
  <c r="D5" i="11"/>
  <c r="E4" i="11"/>
  <c r="D4" i="11"/>
  <c r="E3" i="11"/>
  <c r="D3" i="11"/>
  <c r="E2" i="11"/>
  <c r="D2" i="11"/>
  <c r="E28" i="10"/>
  <c r="D28" i="10"/>
  <c r="E27" i="10"/>
  <c r="D27" i="10"/>
  <c r="E26" i="10"/>
  <c r="D26" i="10"/>
  <c r="E25" i="10"/>
  <c r="D25" i="10"/>
  <c r="E24" i="10"/>
  <c r="D24" i="10"/>
  <c r="E23" i="10"/>
  <c r="D23" i="10"/>
  <c r="E22" i="10"/>
  <c r="D22" i="10"/>
  <c r="E21" i="10"/>
  <c r="D21" i="10"/>
  <c r="E20" i="10"/>
  <c r="D20" i="10"/>
  <c r="E19" i="10"/>
  <c r="D19" i="10"/>
  <c r="E18" i="10"/>
  <c r="D18" i="10"/>
  <c r="E17" i="10"/>
  <c r="D17" i="10"/>
  <c r="E16" i="10"/>
  <c r="D16" i="10"/>
  <c r="E15" i="10"/>
  <c r="D15" i="10"/>
  <c r="E14" i="10"/>
  <c r="D14" i="10"/>
  <c r="E13" i="10"/>
  <c r="D13" i="10"/>
  <c r="E12" i="10"/>
  <c r="D12" i="10"/>
  <c r="E11" i="10"/>
  <c r="D11" i="10"/>
  <c r="E10" i="10"/>
  <c r="D10" i="10"/>
  <c r="E9" i="10"/>
  <c r="D9" i="10"/>
  <c r="E8" i="10"/>
  <c r="D8" i="10"/>
  <c r="E7" i="10"/>
  <c r="D7" i="10"/>
  <c r="E6" i="10"/>
  <c r="D6" i="10"/>
  <c r="E5" i="10"/>
  <c r="D5" i="10"/>
  <c r="E4" i="10"/>
  <c r="D4" i="10"/>
  <c r="E3" i="10"/>
  <c r="D3" i="10"/>
  <c r="E2" i="10"/>
  <c r="D2" i="10"/>
  <c r="E29" i="9"/>
  <c r="D29" i="9"/>
  <c r="E28" i="9"/>
  <c r="D28" i="9"/>
  <c r="E27" i="9"/>
  <c r="D27" i="9"/>
  <c r="E26" i="9"/>
  <c r="D26" i="9"/>
  <c r="E25" i="9"/>
  <c r="D25" i="9"/>
  <c r="E24" i="9"/>
  <c r="D24" i="9"/>
  <c r="E23" i="9"/>
  <c r="D23" i="9"/>
  <c r="E21" i="9"/>
  <c r="D21" i="9"/>
  <c r="E20" i="9"/>
  <c r="D20" i="9"/>
  <c r="E19" i="9"/>
  <c r="D19" i="9"/>
  <c r="E18" i="9"/>
  <c r="D18" i="9"/>
  <c r="E17" i="9"/>
  <c r="D17" i="9"/>
  <c r="E16" i="9"/>
  <c r="D16" i="9"/>
  <c r="E15" i="9"/>
  <c r="D15" i="9"/>
  <c r="E14" i="9"/>
  <c r="D14" i="9"/>
  <c r="E13" i="9"/>
  <c r="D13" i="9"/>
  <c r="E12" i="9"/>
  <c r="D12" i="9"/>
  <c r="E11" i="9"/>
  <c r="D11" i="9"/>
  <c r="E9" i="9"/>
  <c r="D9" i="9"/>
  <c r="E8" i="9"/>
  <c r="D8" i="9"/>
  <c r="E7" i="9"/>
  <c r="D7" i="9"/>
  <c r="E6" i="9"/>
  <c r="D6" i="9"/>
  <c r="E5" i="9"/>
  <c r="D5" i="9"/>
  <c r="E4" i="9"/>
  <c r="D4" i="9"/>
  <c r="E3" i="9"/>
  <c r="D3" i="9"/>
  <c r="E2" i="9"/>
  <c r="D2" i="9"/>
  <c r="H40" i="8"/>
  <c r="G40" i="8"/>
  <c r="H39" i="8"/>
  <c r="G39" i="8"/>
  <c r="H38" i="8"/>
  <c r="G38" i="8"/>
  <c r="H37" i="8"/>
  <c r="G37" i="8"/>
  <c r="H36" i="8"/>
  <c r="G36" i="8"/>
  <c r="E28" i="8"/>
  <c r="D28" i="8"/>
  <c r="E27" i="8"/>
  <c r="D27" i="8"/>
  <c r="E26" i="8"/>
  <c r="D26" i="8"/>
  <c r="E25" i="8"/>
  <c r="D25" i="8"/>
  <c r="E24" i="8"/>
  <c r="D24" i="8"/>
  <c r="E23" i="8"/>
  <c r="D23" i="8"/>
  <c r="E22" i="8"/>
  <c r="D22" i="8"/>
  <c r="E21" i="8"/>
  <c r="D21" i="8"/>
  <c r="E20" i="8"/>
  <c r="D20" i="8"/>
  <c r="E19" i="8"/>
  <c r="D19" i="8"/>
  <c r="E18" i="8"/>
  <c r="D18" i="8"/>
  <c r="E17" i="8"/>
  <c r="D17" i="8"/>
  <c r="E16" i="8"/>
  <c r="D16" i="8"/>
  <c r="E15" i="8"/>
  <c r="D15" i="8"/>
  <c r="E14" i="8"/>
  <c r="D14" i="8"/>
  <c r="E13" i="8"/>
  <c r="D13" i="8"/>
  <c r="E12" i="8"/>
  <c r="D12" i="8"/>
  <c r="E11" i="8"/>
  <c r="D11" i="8"/>
  <c r="E10" i="8"/>
  <c r="D10" i="8"/>
  <c r="E9" i="8"/>
  <c r="D9" i="8"/>
  <c r="E8" i="8"/>
  <c r="D8" i="8"/>
  <c r="E7" i="8"/>
  <c r="D7" i="8"/>
  <c r="E6" i="8"/>
  <c r="D6" i="8"/>
  <c r="E5" i="8"/>
  <c r="D5" i="8"/>
  <c r="E4" i="8"/>
  <c r="D4" i="8"/>
  <c r="E3" i="8"/>
  <c r="D3" i="8"/>
  <c r="E2" i="8"/>
  <c r="D2" i="8"/>
  <c r="E28" i="6"/>
  <c r="D28" i="6"/>
  <c r="E27" i="6"/>
  <c r="D27" i="6"/>
  <c r="E26" i="6"/>
  <c r="D26" i="6"/>
  <c r="E25" i="6"/>
  <c r="D25" i="6"/>
  <c r="E24" i="6"/>
  <c r="D24" i="6"/>
  <c r="E23" i="6"/>
  <c r="D23" i="6"/>
  <c r="E22" i="6"/>
  <c r="D22" i="6"/>
  <c r="E21" i="6"/>
  <c r="D21" i="6"/>
  <c r="E20" i="6"/>
  <c r="D20" i="6"/>
  <c r="E19" i="6"/>
  <c r="D19" i="6"/>
  <c r="E18" i="6"/>
  <c r="D18" i="6"/>
  <c r="E17" i="6"/>
  <c r="D17" i="6"/>
  <c r="E16" i="6"/>
  <c r="D16" i="6"/>
  <c r="E15" i="6"/>
  <c r="D15" i="6"/>
  <c r="E14" i="6"/>
  <c r="D14" i="6"/>
  <c r="E13" i="6"/>
  <c r="D13" i="6"/>
  <c r="E12" i="6"/>
  <c r="D12" i="6"/>
  <c r="E11" i="6"/>
  <c r="D11" i="6"/>
  <c r="E10" i="6"/>
  <c r="D10" i="6"/>
  <c r="E9" i="6"/>
  <c r="D9" i="6"/>
  <c r="E8" i="6"/>
  <c r="D8" i="6"/>
  <c r="E7" i="6"/>
  <c r="D7" i="6"/>
  <c r="E6" i="6"/>
  <c r="D6" i="6"/>
  <c r="E5" i="6"/>
  <c r="D5" i="6"/>
  <c r="E4" i="6"/>
  <c r="D4" i="6"/>
  <c r="E3" i="6"/>
  <c r="D3" i="6"/>
  <c r="E2" i="6"/>
  <c r="D2" i="6"/>
  <c r="F29" i="5"/>
  <c r="E29" i="5"/>
  <c r="D29" i="5"/>
  <c r="F28" i="5"/>
  <c r="E28" i="5"/>
  <c r="D28" i="5"/>
  <c r="F27" i="5"/>
  <c r="E27" i="5"/>
  <c r="D27" i="5"/>
  <c r="F26" i="5"/>
  <c r="E26" i="5"/>
  <c r="D26" i="5"/>
  <c r="F25" i="5"/>
  <c r="E25" i="5"/>
  <c r="D25" i="5"/>
  <c r="F24" i="5"/>
  <c r="E24" i="5"/>
  <c r="D24" i="5"/>
  <c r="F21" i="5"/>
  <c r="E21" i="5"/>
  <c r="D21" i="5"/>
  <c r="F20" i="5"/>
  <c r="E20" i="5"/>
  <c r="D20" i="5"/>
  <c r="F19" i="5"/>
  <c r="E19" i="5"/>
  <c r="D19" i="5"/>
  <c r="F18" i="5"/>
  <c r="E18" i="5"/>
  <c r="D18" i="5"/>
  <c r="F17" i="5"/>
  <c r="E17" i="5"/>
  <c r="D17" i="5"/>
  <c r="F16" i="5"/>
  <c r="E16" i="5"/>
  <c r="D16" i="5"/>
  <c r="F15" i="5"/>
  <c r="E15" i="5"/>
  <c r="D15" i="5"/>
  <c r="F14" i="5"/>
  <c r="E14" i="5"/>
  <c r="D14" i="5"/>
  <c r="F13" i="5"/>
  <c r="E13" i="5"/>
  <c r="D13" i="5"/>
  <c r="F12" i="5"/>
  <c r="E12" i="5"/>
  <c r="D12" i="5"/>
  <c r="F11" i="5"/>
  <c r="E11" i="5"/>
  <c r="D11" i="5"/>
  <c r="F9" i="5"/>
  <c r="E9" i="5"/>
  <c r="D9" i="5"/>
  <c r="F8" i="5"/>
  <c r="E8" i="5"/>
  <c r="D8" i="5"/>
  <c r="F7" i="5"/>
  <c r="E7" i="5"/>
  <c r="D7" i="5"/>
  <c r="F6" i="5"/>
  <c r="E6" i="5"/>
  <c r="D6" i="5"/>
  <c r="F5" i="5"/>
  <c r="E5" i="5"/>
  <c r="D5" i="5"/>
  <c r="F4" i="5"/>
  <c r="E4" i="5"/>
  <c r="D4" i="5"/>
  <c r="F3" i="5"/>
  <c r="E3" i="5"/>
  <c r="D3" i="5"/>
  <c r="F2" i="5"/>
  <c r="E2" i="5"/>
  <c r="D2" i="5"/>
  <c r="D2" i="4"/>
  <c r="E2" i="4"/>
  <c r="D3" i="4"/>
  <c r="E3" i="4"/>
  <c r="D4" i="4"/>
  <c r="E4" i="4"/>
  <c r="D5" i="4"/>
  <c r="E5" i="4"/>
  <c r="D6" i="4"/>
  <c r="E6" i="4"/>
  <c r="D7" i="4"/>
  <c r="E7" i="4"/>
  <c r="D8" i="4"/>
  <c r="E8" i="4"/>
  <c r="D9" i="4"/>
  <c r="E9" i="4"/>
  <c r="D11" i="4"/>
  <c r="E11" i="4"/>
  <c r="D12" i="4"/>
  <c r="E12" i="4"/>
  <c r="D13" i="4"/>
  <c r="E13" i="4"/>
  <c r="D14" i="4"/>
  <c r="E14" i="4"/>
  <c r="D15" i="4"/>
  <c r="E15" i="4"/>
  <c r="D16" i="4"/>
  <c r="E16" i="4"/>
  <c r="D17" i="4"/>
  <c r="E17" i="4"/>
  <c r="D18" i="4"/>
  <c r="E18" i="4"/>
  <c r="D19" i="4"/>
  <c r="E19" i="4"/>
  <c r="D20" i="4"/>
  <c r="E20" i="4"/>
  <c r="D21" i="4"/>
  <c r="E21" i="4"/>
  <c r="E22" i="4"/>
  <c r="D23" i="4"/>
  <c r="E23" i="4"/>
  <c r="D24" i="4"/>
  <c r="E24" i="4"/>
  <c r="D25" i="4"/>
  <c r="E25" i="4"/>
  <c r="D26" i="4"/>
  <c r="E26" i="4"/>
  <c r="D27" i="4"/>
  <c r="E27" i="4"/>
  <c r="D28" i="4"/>
  <c r="E28" i="4"/>
  <c r="H7" i="3" l="1"/>
  <c r="H4" i="3"/>
  <c r="H13" i="3"/>
  <c r="H10" i="3"/>
  <c r="H24" i="3"/>
  <c r="H16" i="3"/>
  <c r="H20" i="3"/>
  <c r="D121" i="1"/>
  <c r="C25" i="3" s="1"/>
  <c r="D109" i="1"/>
  <c r="C23" i="3" s="1"/>
  <c r="D111" i="1"/>
  <c r="D113" i="1"/>
  <c r="D23" i="3" s="1"/>
  <c r="D74" i="1"/>
  <c r="D82" i="1"/>
  <c r="C18" i="3" s="1"/>
  <c r="D98" i="1"/>
  <c r="D20" i="3" s="1"/>
  <c r="D87" i="1"/>
  <c r="C19" i="3" s="1"/>
  <c r="D77" i="1"/>
  <c r="C17" i="3" s="1"/>
  <c r="D116" i="1"/>
  <c r="C24" i="3" s="1"/>
  <c r="D89" i="1"/>
  <c r="D91" i="1"/>
  <c r="D19" i="3" s="1"/>
  <c r="D76" i="1"/>
  <c r="D16" i="3" s="1"/>
  <c r="D84" i="1"/>
  <c r="D99" i="1"/>
  <c r="C21" i="3" s="1"/>
  <c r="D123" i="1"/>
  <c r="D108" i="1"/>
  <c r="D22" i="3" s="1"/>
  <c r="D86" i="1"/>
  <c r="D18" i="3" s="1"/>
  <c r="D101" i="1"/>
  <c r="D125" i="1"/>
  <c r="D25" i="3" s="1"/>
  <c r="D79" i="1"/>
  <c r="D94" i="1"/>
  <c r="C20" i="3" s="1"/>
  <c r="D118" i="1"/>
  <c r="D126" i="1"/>
  <c r="C26" i="3" s="1"/>
  <c r="D72" i="1"/>
  <c r="C16" i="3" s="1"/>
  <c r="D103" i="1"/>
  <c r="D21" i="3" s="1"/>
  <c r="D81" i="1"/>
  <c r="D17" i="3" s="1"/>
  <c r="D96" i="1"/>
  <c r="D104" i="1"/>
  <c r="C22" i="3" s="1"/>
  <c r="D120" i="1"/>
  <c r="D24" i="3" s="1"/>
  <c r="D128" i="1"/>
  <c r="D106" i="1"/>
  <c r="D130" i="1"/>
  <c r="D26" i="3" s="1"/>
  <c r="D60" i="1"/>
  <c r="C14" i="3" s="1"/>
  <c r="D67" i="1"/>
  <c r="D69" i="1"/>
  <c r="D15" i="3" s="1"/>
  <c r="D62" i="1"/>
  <c r="D64" i="1"/>
  <c r="D14" i="3" s="1"/>
  <c r="D65" i="1"/>
  <c r="C15" i="3" s="1"/>
  <c r="D57" i="1"/>
  <c r="D55" i="1"/>
  <c r="C13" i="3" s="1"/>
  <c r="D59" i="1"/>
  <c r="D13" i="3" s="1"/>
  <c r="D4" i="1"/>
  <c r="C4" i="3" s="1"/>
  <c r="D14" i="1"/>
  <c r="C6" i="3" s="1"/>
  <c r="D11" i="1"/>
  <c r="D18" i="1"/>
  <c r="D6" i="3" s="1"/>
  <c r="D9" i="1"/>
  <c r="C5" i="3" s="1"/>
  <c r="D16" i="1"/>
  <c r="D8" i="1"/>
  <c r="D4" i="3" s="1"/>
  <c r="D6" i="1"/>
  <c r="D48" i="1"/>
  <c r="C12" i="3" s="1"/>
  <c r="D50" i="1"/>
  <c r="D52" i="1"/>
  <c r="D12" i="3" s="1"/>
  <c r="D31" i="1"/>
  <c r="C9" i="3" s="1"/>
  <c r="D33" i="1"/>
  <c r="D35" i="1"/>
  <c r="D9" i="3" s="1"/>
  <c r="D45" i="1"/>
  <c r="D43" i="1"/>
  <c r="C11" i="3" s="1"/>
  <c r="D47" i="1"/>
  <c r="D11" i="3" s="1"/>
  <c r="D26" i="1"/>
  <c r="C8" i="3" s="1"/>
  <c r="D28" i="1"/>
  <c r="D30" i="1"/>
  <c r="D8" i="3" s="1"/>
  <c r="D42" i="1"/>
  <c r="D10" i="3" s="1"/>
  <c r="D38" i="1"/>
  <c r="C10" i="3" s="1"/>
  <c r="D40" i="1"/>
  <c r="D21" i="1"/>
  <c r="C7" i="3" s="1"/>
  <c r="D23" i="1"/>
  <c r="D25" i="1"/>
  <c r="D7" i="3" s="1"/>
  <c r="D13" i="1"/>
  <c r="D5" i="3" s="1"/>
  <c r="E13" i="3" l="1"/>
  <c r="E24" i="3"/>
  <c r="E4" i="3"/>
  <c r="E20" i="3"/>
  <c r="E7" i="3"/>
  <c r="E10" i="3"/>
  <c r="E1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tc={37B560BC-54DC-6D48-9092-5468D9706EFC}</author>
    <author>tc={314D553A-0E1B-1449-A0A7-D4D25ADF6E96}</author>
    <author>tc={4EC23116-7195-1642-8C2F-C7596453D359}</author>
    <author>tc={75D84178-7CDF-CB42-A8BA-704AAE3486A5}</author>
    <author>tc={0F5CF8CD-DFB0-8645-A53D-6CEFF93B8C22}</author>
  </authors>
  <commentList>
    <comment ref="G4" authorId="0" shapeId="0" xr:uid="{37B560BC-54DC-6D48-9092-5468D9706EFC}">
      <text>
        <t>[Comentario encadenado]
Su versión de Excel le permite leer este comentario encadenado; sin embargo, las ediciones que se apliquen se quitarán si el archivo se abre en una versión más reciente de Excel. Más información: https://go.microsoft.com/fwlink/?linkid=870924
Comentario:
    Not very useful info</t>
      </text>
    </comment>
    <comment ref="G5" authorId="1" shapeId="0" xr:uid="{314D553A-0E1B-1449-A0A7-D4D25ADF6E96}">
      <text>
        <t>[Comentario encadenado]
Su versión de Excel le permite leer este comentario encadenado; sin embargo, las ediciones que se apliquen se quitarán si el archivo se abre en una versión más reciente de Excel. Más información: https://go.microsoft.com/fwlink/?linkid=870924
Comentario:
    It could have been more precise</t>
      </text>
    </comment>
    <comment ref="G9" authorId="2" shapeId="0" xr:uid="{4EC23116-7195-1642-8C2F-C7596453D35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Curious that now it says the data is publicly available but before it said it was not. </t>
      </text>
    </comment>
    <comment ref="G18" authorId="3" shapeId="0" xr:uid="{75D84178-7CDF-CB42-A8BA-704AAE3486A5}">
      <text>
        <t>[Comentario encadenado]
Su versión de Excel le permite leer este comentario encadenado; sin embargo, las ediciones que se apliquen se quitarán si el archivo se abre en una versión más reciente de Excel. Más información: https://go.microsoft.com/fwlink/?linkid=870924
Comentario:
    Misses the part on 100 articles in each datasert</t>
      </text>
    </comment>
    <comment ref="G25" authorId="4" shapeId="0" xr:uid="{0F5CF8CD-DFB0-8645-A53D-6CEFF93B8C22}">
      <text>
        <t>[Comentario encadenado]
Su versión de Excel le permite leer este comentario encadenado; sin embargo, las ediciones que se apliquen se quitarán si el archivo se abre en una versión más reciente de Excel. Más información: https://go.microsoft.com/fwlink/?linkid=870924
Comentario:
    It's answering details on the ML classifier trained on the data</t>
      </text>
    </comment>
  </commentList>
</comments>
</file>

<file path=xl/sharedStrings.xml><?xml version="1.0" encoding="utf-8"?>
<sst xmlns="http://schemas.openxmlformats.org/spreadsheetml/2006/main" count="2580" uniqueCount="494">
  <si>
    <t>Good</t>
  </si>
  <si>
    <t>Bad</t>
  </si>
  <si>
    <t>Hallucinate</t>
  </si>
  <si>
    <t>Very Good</t>
  </si>
  <si>
    <t>Fair</t>
  </si>
  <si>
    <t>Evaluation</t>
  </si>
  <si>
    <t>Kenya</t>
  </si>
  <si>
    <t>hallucinate</t>
  </si>
  <si>
    <t>GPT 3.5 Overall Results</t>
  </si>
  <si>
    <t>Dimensions</t>
  </si>
  <si>
    <t>Uses</t>
  </si>
  <si>
    <t>Contributors</t>
  </si>
  <si>
    <t>Distribution</t>
  </si>
  <si>
    <t>Composition</t>
  </si>
  <si>
    <t>Gathering</t>
  </si>
  <si>
    <t>Annotation</t>
  </si>
  <si>
    <t>Social Concerns</t>
  </si>
  <si>
    <t>Localization</t>
  </si>
  <si>
    <t>Overall</t>
  </si>
  <si>
    <t>Flan-UL2</t>
  </si>
  <si>
    <t>GPT3</t>
  </si>
  <si>
    <t>Alpaca</t>
  </si>
  <si>
    <t>Performance</t>
  </si>
  <si>
    <t>Hallucinations</t>
  </si>
  <si>
    <t>Subdimensions:</t>
  </si>
  <si>
    <t>Task,purposes,gaps</t>
  </si>
  <si>
    <t>Recommende and non recommneded uses</t>
  </si>
  <si>
    <t>ML Benchmark</t>
  </si>
  <si>
    <t>Authors</t>
  </si>
  <si>
    <t>Funder and funding information</t>
  </si>
  <si>
    <t>Maintenance</t>
  </si>
  <si>
    <t>Data repository links</t>
  </si>
  <si>
    <t>Licenses</t>
  </si>
  <si>
    <t>Deprecation policies</t>
  </si>
  <si>
    <t>good</t>
  </si>
  <si>
    <t>Data privacy concerns</t>
  </si>
  <si>
    <t>Privacy concerns of the data</t>
  </si>
  <si>
    <t>Data imbalance, and representiveness issues for specific social groups</t>
  </si>
  <si>
    <t>Representativeness and sensitivity  issues</t>
  </si>
  <si>
    <t>Potential biases of the dataset</t>
  </si>
  <si>
    <t>Potential biases of the data</t>
  </si>
  <si>
    <r>
      <t>Social Concerns: 
E</t>
    </r>
    <r>
      <rPr>
        <sz val="11"/>
        <rFont val="Calibri"/>
        <family val="2"/>
      </rPr>
      <t xml:space="preserve">xplicit warning regarding the data. </t>
    </r>
  </si>
  <si>
    <t>bad</t>
  </si>
  <si>
    <t>fair</t>
  </si>
  <si>
    <t>Description of the process</t>
  </si>
  <si>
    <t>Which validation methods have been applied to validate the annotations</t>
  </si>
  <si>
    <t>Validations applied over the labels</t>
  </si>
  <si>
    <t>Not mentioned</t>
  </si>
  <si>
    <t>Which tools and platforms  has been used to annotate the data</t>
  </si>
  <si>
    <t>Infrastructure used to annotate the data</t>
  </si>
  <si>
    <t>very good</t>
  </si>
  <si>
    <t>Who annotates the data, form which type is (internal, external, crowdsourcing), and its demographics information</t>
  </si>
  <si>
    <t>Information of the team annotating the data</t>
  </si>
  <si>
    <t>Which are the generated labels, and its mapping with specific attributes</t>
  </si>
  <si>
    <t>The generated labels</t>
  </si>
  <si>
    <t>The type of annotation process: Bounding boxes, Lines and splines, Semantinc Segmentation, 3D cuboids, Polygonal segmentation, Landmark and key-point, Image and video annotations, Entity annotation, Content and textual categorization</t>
  </si>
  <si>
    <t>Processs Type</t>
  </si>
  <si>
    <t>A summary of the annotation process to generate the labels</t>
  </si>
  <si>
    <r>
      <t xml:space="preserve">Annotation: 
</t>
    </r>
    <r>
      <rPr>
        <sz val="11"/>
        <rFont val="Calibri"/>
        <family val="2"/>
      </rPr>
      <t>How data has been annotated</t>
    </r>
  </si>
  <si>
    <t>Where and when the data has been collected</t>
  </si>
  <si>
    <t>Localization of the process</t>
  </si>
  <si>
    <t>From where the data has been collected, and the potential noise issue of the source</t>
  </si>
  <si>
    <t>Information of the sources of the data</t>
  </si>
  <si>
    <t xml:space="preserve"> very good</t>
  </si>
  <si>
    <t>If the target of the gathering are people (natural language form speakers, or medical records from patients), information about the demographics of the dataset</t>
  </si>
  <si>
    <t>Demographics of the process if involves people</t>
  </si>
  <si>
    <t>Who gather the data, if its internal, external or a crowdworking serice, and its demographics information</t>
  </si>
  <si>
    <t>Information of the team gathering the data</t>
  </si>
  <si>
    <t>The type of the process from a set of provided types: Web API, Web Scrapping, Sensors, Manual Human Curator, Software collection, Surveys, Observations, Interviews, Focus groups, Document analysis, Secondary data analysis, Physical data collection, Self-reporting, Experiments, Direct measurement, Interviews, Document analysis, Secondary data analysis, Physical data collection, Self-reporting, Experiments, Direct measurement, Customer feedback data, Audio or video recordings, Image data, Biometric data, Medical or health data, Financial data, Geographic or spatial data, Time series data, User-generated content data.</t>
  </si>
  <si>
    <t>A summary of the gathering process applied over the data</t>
  </si>
  <si>
    <r>
      <t xml:space="preserve">Gathering: 
</t>
    </r>
    <r>
      <rPr>
        <sz val="11"/>
        <rFont val="Calibri"/>
        <family val="2"/>
      </rPr>
      <t>How data have been collected</t>
    </r>
  </si>
  <si>
    <t>Consistency rules and constraints of the data and relevant statistics of the dataset</t>
  </si>
  <si>
    <t>Consistnecy Rules and relevant statistics</t>
  </si>
  <si>
    <t>Is there any recommended data split of the data?</t>
  </si>
  <si>
    <t>Data splits</t>
  </si>
  <si>
    <t xml:space="preserve">The folder and files  structure and format, and information of the attributes of the files.  </t>
  </si>
  <si>
    <t>Data record composition of the dataset</t>
  </si>
  <si>
    <r>
      <t xml:space="preserve">Composition: 
</t>
    </r>
    <r>
      <rPr>
        <sz val="11"/>
        <rFont val="Calibri"/>
        <family val="2"/>
      </rPr>
      <t>How the dataset is composed</t>
    </r>
  </si>
  <si>
    <t>No</t>
  </si>
  <si>
    <t>Not mentioned in the context</t>
  </si>
  <si>
    <t>Which are the plan and policies to deprecate the dataset</t>
  </si>
  <si>
    <t>The license under the dataset is released, 
Third-parties in-charge,
Attribution notices,
The rights of the data stand-alone
The rights of the models trained with the data</t>
  </si>
  <si>
    <t>Licenses of the data and the models trained with it</t>
  </si>
  <si>
    <t>The link where the data can be accesed if its online and open, or the place where the data can be demanded</t>
  </si>
  <si>
    <t>Data accesability</t>
  </si>
  <si>
    <r>
      <t xml:space="preserve">Distribution: 
</t>
    </r>
    <r>
      <rPr>
        <sz val="11"/>
        <rFont val="Calibri"/>
        <family val="2"/>
      </rPr>
      <t>How the dataset is distributed</t>
    </r>
  </si>
  <si>
    <t>Information about the maintainers, the erratums, the contribution guidelines, the data rentetion policies and update policies of the dataset</t>
  </si>
  <si>
    <t>Maintainers and maintenance policies</t>
  </si>
  <si>
    <t>Information about the organizations who fund the creation of the dataset, it's type (public, private, mixed),  and the particular grant id (if present).</t>
  </si>
  <si>
    <t>Information regarding the creators of the dataset</t>
  </si>
  <si>
    <t xml:space="preserve">Authors </t>
  </si>
  <si>
    <r>
      <t xml:space="preserve">Contributors: 
</t>
    </r>
    <r>
      <rPr>
        <sz val="11"/>
        <rFont val="Calibri"/>
        <family val="2"/>
      </rPr>
      <t>People and organizations behind the dataset</t>
    </r>
  </si>
  <si>
    <t>Has been tested with any machine learning approach?
If yes, which results it gets with each specific ML model?</t>
  </si>
  <si>
    <t>Machine learning benchmarks</t>
  </si>
  <si>
    <t>The recommended and non-recommended uses of the dataset, and the warning towards its use.</t>
  </si>
  <si>
    <t>Recommended and non-recommneded uses</t>
  </si>
  <si>
    <t xml:space="preserve"> </t>
  </si>
  <si>
    <t>The purposes of the creation of the dataset
The gaps this dataset inted to fill or complement
Representative tags of the dataset
ML Tasks the dataset is inteded for</t>
  </si>
  <si>
    <t>Purposes, gaps and tasks</t>
  </si>
  <si>
    <r>
      <t xml:space="preserve">Uses: 
</t>
    </r>
    <r>
      <rPr>
        <sz val="11"/>
        <rFont val="Calibri"/>
        <family val="2"/>
      </rPr>
      <t>The desing pruposes and uses of the dataset</t>
    </r>
  </si>
  <si>
    <t>Alpaca 7B</t>
  </si>
  <si>
    <t>Evaluation GPT3.5</t>
  </si>
  <si>
    <t>Ground Truth</t>
  </si>
  <si>
    <t xml:space="preserve">GPT3.5 </t>
  </si>
  <si>
    <t>Sub-dimension requirements</t>
  </si>
  <si>
    <t>Sub-dimensions</t>
  </si>
  <si>
    <t>GPT3.5 (k=10)</t>
  </si>
  <si>
    <t>Flan UL2</t>
  </si>
  <si>
    <r>
      <t xml:space="preserve">Uses: 
</t>
    </r>
    <r>
      <rPr>
        <sz val="11"/>
        <rFont val="Calibri"/>
        <family val="2"/>
        <scheme val="minor"/>
      </rPr>
      <t>The desing pruposes and uses of the dataset</t>
    </r>
  </si>
  <si>
    <r>
      <t xml:space="preserve">Contributors: 
</t>
    </r>
    <r>
      <rPr>
        <sz val="11"/>
        <rFont val="Calibri"/>
        <family val="2"/>
        <scheme val="minor"/>
      </rPr>
      <t>People and organizations behind the dataset</t>
    </r>
  </si>
  <si>
    <r>
      <t xml:space="preserve">Distribution: 
</t>
    </r>
    <r>
      <rPr>
        <sz val="11"/>
        <rFont val="Calibri"/>
        <family val="2"/>
        <scheme val="minor"/>
      </rPr>
      <t>How the dataset is distributed</t>
    </r>
  </si>
  <si>
    <t>No: Unsure</t>
  </si>
  <si>
    <r>
      <t xml:space="preserve">Composition: 
</t>
    </r>
    <r>
      <rPr>
        <sz val="11"/>
        <rFont val="Calibri"/>
        <family val="2"/>
        <scheme val="minor"/>
      </rPr>
      <t>How the dataset is composed</t>
    </r>
  </si>
  <si>
    <r>
      <t xml:space="preserve">Gathering: 
</t>
    </r>
    <r>
      <rPr>
        <sz val="11"/>
        <rFont val="Calibri"/>
        <family val="2"/>
        <scheme val="minor"/>
      </rPr>
      <t>How data have been collected</t>
    </r>
  </si>
  <si>
    <r>
      <t xml:space="preserve">Annotation: 
</t>
    </r>
    <r>
      <rPr>
        <sz val="11"/>
        <rFont val="Calibri"/>
        <family val="2"/>
        <scheme val="minor"/>
      </rPr>
      <t>How data has been annotated</t>
    </r>
  </si>
  <si>
    <r>
      <t xml:space="preserve">Social Concerns: 
</t>
    </r>
    <r>
      <rPr>
        <sz val="11"/>
        <rFont val="Calibri"/>
        <family val="2"/>
        <scheme val="minor"/>
      </rPr>
      <t xml:space="preserve">Explicit warning regarding the data. </t>
    </r>
  </si>
  <si>
    <t>GPT3.5 k=10</t>
  </si>
  <si>
    <t>Ground truth</t>
  </si>
  <si>
    <t>Evaluation FLAN UL2</t>
  </si>
  <si>
    <t>Evaluation GPT3.5 (Joan)</t>
  </si>
  <si>
    <t>Evaluation UL2 (Joan)</t>
  </si>
  <si>
    <t>Evaluation GPT3.5 (Jordi)</t>
  </si>
  <si>
    <t xml:space="preserve">Purposes: The purpose of the dataset is to support new machine learning challenges.
To explore de "ugly ducliong sing"
Gaps: This dataset inteds to fill prior skin image datasets have not addressed patient-level information obtained from multiple skin lesions from the same patient. 
</t>
  </si>
  <si>
    <t>The dataset is designed to improve translational potential of algorithms, especially to help clinicians without access to tertiary referral centers assess high risk patients with multiple atypical nevi.
There is an aware as the data is not representative</t>
  </si>
  <si>
    <t>Veronica Rotemberg  , Nicholas Kurtansky, Brigid Betz-Stablein, Liam Caffery, Emmanouil Chousakos , Noel Codella, Marc Combalia, Stephen Dusza, Pascale Guitera, David Gutman, Allan Halpern, Brian Helba, Harald Kittler, Kivanc Kose , Steve Langer, Konstantinos Lioprys, Josep Malvehy, Shenara Musthaq,</t>
  </si>
  <si>
    <t>The dataset provided by The University of Queensland in Brisbane was funded by the National Health and Medical Research Council (NHMRC) – Centre of Research Excellence Scheme (APP 1099021). HPS holds an NHMRC MRFF Next Generation Clinical Researchers Program Practitioner Fellowship (APP1137127). Other funding sources include the Melanoma Research Alliance Young Investigator Award 614197. This research was funded in part through the NIH/NCI Cancer Center Support Grant P30 CA008748.</t>
  </si>
  <si>
    <t>Is permanently accessible to the public through the ISIC Archive12 at
this https://doi.org/10.34970/2020-ds01.</t>
  </si>
  <si>
    <t>Dataset under CC 4.0</t>
  </si>
  <si>
    <t>Is provided in 2 formats, in DICOM format and in JPEG and CSV format.</t>
  </si>
  <si>
    <t>no</t>
  </si>
  <si>
    <t>In Table 1</t>
  </si>
  <si>
    <t>Collected, from 5 health center, using scanners</t>
  </si>
  <si>
    <t>Sensors and Manual Human Curators</t>
  </si>
  <si>
    <t>Internal team and external team</t>
  </si>
  <si>
    <t>Not provided</t>
  </si>
  <si>
    <t>5 hospitals, a great description of each hospital is provided</t>
  </si>
  <si>
    <t>Intrinsic</t>
  </si>
  <si>
    <t>The localization of each of 5 hospitals</t>
  </si>
  <si>
    <t>The data has been annotated bydermoscopry, ussing Tagger</t>
  </si>
  <si>
    <t>Image annotation</t>
  </si>
  <si>
    <t>Dermoscopy exeprts, of type internal with no demograhipcs</t>
  </si>
  <si>
    <t>Tagger</t>
  </si>
  <si>
    <t>The ground truth labels for all malignant lesions in the dataset were confirmed via retrospective review of histopathology
reports, and diagnosis plausibility was visually confirmed by visual confirmation of a dermoscopy expert.
Histopathology reports were double checked if the label was suspicious. Melanoma in situ and invasive melanoma
were both coded as melanoma. All other qualifying images were coded as benign, including those diagnosed as
severely dysplastic nevi</t>
  </si>
  <si>
    <t>Low prevalnce of specific population groups</t>
  </si>
  <si>
    <t>Tends to under-represent darker skin types</t>
  </si>
  <si>
    <t>Count results</t>
  </si>
  <si>
    <t>Flan UL2 (Joan)</t>
  </si>
  <si>
    <t>The dataset is designed  for training NLP apporaches to help identifying potential patients at scale clinical trials. Is an human-annotated corpus of over 1,000 clinical trial
eligibility criteria descriptions using highly granular structured labels capturing a range of biomedical phenomena.
Tries to fill the gap of past corpora that  covers only a modest number of eligibility criteria, are narrowly focused on certain diseases only, are not publicly available
or have annotations insufficiently granular to fully capture the diverse, nuanced semantics of eligibility criteria.</t>
  </si>
  <si>
    <t>To train NLP methods for query generation form clinical trials</t>
  </si>
  <si>
    <t>goodo</t>
  </si>
  <si>
    <t>Has been testes with biLSTMçCRF, PubMedBERT, and SciBERT</t>
  </si>
  <si>
    <t>Sensitivity of the data</t>
  </si>
  <si>
    <t>The presensce of information that can hurt the sensitivity of any social group</t>
  </si>
  <si>
    <t>Evaluation Flan UL2 - Joan</t>
  </si>
  <si>
    <t>The purpose of the dataset are to contribute as an NLP resource in the AMR surveillance and epidemic intelligence
To provide unofficial and unstrcutured data from new articles and social meida to complement official inforation about AMR
Text-classification, classification</t>
  </si>
  <si>
    <t>Very good</t>
  </si>
  <si>
    <t>Can be used for evaluation or trainig purposes for classification tasks. 
It is useful to detect information across the One Health domain, and interaction between domains.</t>
  </si>
  <si>
    <t>Has been used in a text-classification publicly available online. For each corpus through generic state-of-the-art NLP techniques in five steps.
For thematic classification and Host, Precision, Recall and F-measure is provided, using different retrieval algoritms: TF-IDF, Doc2Vec, and both</t>
  </si>
  <si>
    <t>Nejat Arınıka, Wim Van Bortel, Bahdja Boudouaa,, Luca Busani. Rémy Decoupes, Roberto Interdonato, Rodrique Kafandoa, Esther van Kleeff, Mathieu Roche, Mehtab Alam Syed, Maguelonne Teisseirea</t>
  </si>
  <si>
    <t>This study was partially funded by EU grant 874850 MOOD and is catalogued as MOOD052.</t>
  </si>
  <si>
    <t>not provided</t>
  </si>
  <si>
    <t>Direct URL to data: https://doi.org/10.57745/MPNSPH</t>
  </si>
  <si>
    <t>Not provided, the article is under CC BY-NC-ND license</t>
  </si>
  <si>
    <t>We have two corpora, where D2 is a subset of D1 only containing concers about New Informationad General Information data from D1. The files are as follows, wher D1 is corpora 1, D2 corpora 2. ProMED, PADI and Healtmap and MediSys are the EBS-systems where the data has been extracted.
D1.1-ProMED_url_thematic_classification.csv
• D1.2-PADI-web_thematic_classification.csv
• D1.3-HealthMap_url_thematic_classification.csv
• D1.4-MedISys_url_thematic_classification.csv
• D2.1-ProMED_url_host_classification.csv
• D2.2-PADI-web_host_classification.csv
• D2.3-HealthMap_url_host_classification.csv
• D2.4-MedISys_url_host_classification.csv</t>
  </si>
  <si>
    <t>Mention a split, but is for the experiment and not the recommended</t>
  </si>
  <si>
    <t>Statitics are provided in Table 1.</t>
  </si>
  <si>
    <t>The corpus dataset was curated and mined by the TETIS team from four EBS-systems:
ProMED, PADI-web, HealthMap and MedISys.</t>
  </si>
  <si>
    <t>Manual Human Curation, Web Scrapping</t>
  </si>
  <si>
    <t>Internal</t>
  </si>
  <si>
    <t xml:space="preserve">The sources are four EBS-systems: ProMED, PADI-web, HealthMap and MedISys.
HealthMap: It is operating since 2006. It is an automated and curated aggregator of a broad range of data sources, such as Twitter, Google News, Baidu and SoSo news aggregators and ProMED in nine languages.
ProMED: It is a program of the International Society for Infectious Diseases (ISID) [5]. It was launched in 1994 as an Internet service to identify unusual health events related to emerging and re-emerging infectious diseases and toxins affecting humans, animals and plants.
MedISys: It is an EBS system developed by the European Commission Directorate General for Health and Consumers (DG SANCO) and the Joint Research Centre (JRC) of the European Commission.
PADI-web: It is operating since 2016. It is an automated EBS tool that monitors the Google News aggregator in sixteen languages.
</t>
  </si>
  <si>
    <t>The four sub-datasets from the respective EBS sources were manually annotated according to three main classes (New Information, General
Information, Not Relevant). Data observation labeled as New Information or General Information were subsequently annotated according to a host classification system referring to host and/or
transmission reservoirs (e.g. Humans, animals, Environment, etc). An annotation guideline was provided to facilitate a unified manual annotation across three annotators (AMR experts).</t>
  </si>
  <si>
    <t>Entity annotation</t>
  </si>
  <si>
    <t>New information, General information, Not relevant</t>
  </si>
  <si>
    <t>3 AMR experts</t>
  </si>
  <si>
    <t>Annotation Guidelines</t>
  </si>
  <si>
    <t>Has been validated by performing experiments with retrieval algorithms such as TF-Idf and Doc2Vec</t>
  </si>
  <si>
    <t>The content of media data is anonymized by removing the user names and the names of person in transcripts (using SpaCy for name recognition).</t>
  </si>
  <si>
    <t>Evaluation Flan UL2 (Joan)</t>
  </si>
  <si>
    <t>Purposes and gaps of the dataset</t>
  </si>
  <si>
    <t>The purpose is to help in sentimental analysis on social media comments in Albanian language.
Gaps: The scarcity of labeled data for low-resource languages
Task: Sentiment-analysis, information-retrival</t>
  </si>
  <si>
    <t>Uses: Another possible value of these data is that they could be used by public agencies and decision makers to prevent the distribution of fake news in social media during crisis situations such as the current Covid-19 pandemics. 
The research community in the fields of machine learning, information retrieval, affective computing, education can benefit from these data by using them in various research tasks such as: (multilingual) sentiment analysis, opinion mining, performance analysis of
deep/machine learning models and techniques.</t>
  </si>
  <si>
    <t>Not tested</t>
  </si>
  <si>
    <t>Fatbardh Kadriu, Doruntina Murtezaj, Fatbardh Gashi, Lule Ahmedi, Arianit Kurti, Zenun Kastrati</t>
  </si>
  <si>
    <t>This research did not receive any specific grant</t>
  </si>
  <si>
    <t>Not clearly mentioned</t>
  </si>
  <si>
    <t>Direct URL to data: https://data.mendeley.com/datasets/bj2gyvkgvx/4</t>
  </si>
  <si>
    <t>Structure provided in table</t>
  </si>
  <si>
    <t xml:space="preserve">Consistnecy Rules and relevant Statistics </t>
  </si>
  <si>
    <t>Consistency rules and constraints of the data, and relevant statistics of the data</t>
  </si>
  <si>
    <t>Are in Table 1, table still not included</t>
  </si>
  <si>
    <t>Representativeness and Sensitivity iisues</t>
  </si>
  <si>
    <t>Data imbalance, and representiveness issues for specific social groups, and the presence of information that can hurt the sensitivity of any social group</t>
  </si>
  <si>
    <t>Aggregated Count</t>
  </si>
  <si>
    <t>Percentatge</t>
  </si>
  <si>
    <t>Funders</t>
  </si>
  <si>
    <t>Licences</t>
  </si>
  <si>
    <t>Consistency rulas and relevant statistics</t>
  </si>
  <si>
    <t>Description &amp; Type</t>
  </si>
  <si>
    <t>Gathering team</t>
  </si>
  <si>
    <t>Sources</t>
  </si>
  <si>
    <t>Annotator Team</t>
  </si>
  <si>
    <t>Infraestructure</t>
  </si>
  <si>
    <t>Label validation</t>
  </si>
  <si>
    <t>Potential biases</t>
  </si>
  <si>
    <t>Representativenes and sensivity issues</t>
  </si>
  <si>
    <t>Privacy concerns</t>
  </si>
  <si>
    <t>Social Concenrs</t>
  </si>
  <si>
    <t>Type</t>
  </si>
  <si>
    <t>Purposes, task &amp; gaps</t>
  </si>
  <si>
    <t>Recoomended and non recommneded</t>
  </si>
  <si>
    <t>Benchmarks</t>
  </si>
  <si>
    <t>Funding</t>
  </si>
  <si>
    <t>Links</t>
  </si>
  <si>
    <t>Data records</t>
  </si>
  <si>
    <t>Relevant statisitcs and consistency rules</t>
  </si>
  <si>
    <t>Disitribution</t>
  </si>
  <si>
    <t>Source identification</t>
  </si>
  <si>
    <t>Description &amp; Type identification</t>
  </si>
  <si>
    <t>Annotation team</t>
  </si>
  <si>
    <t>Ponteital biases</t>
  </si>
  <si>
    <t>Representativenes and sensitivity issues</t>
  </si>
  <si>
    <t>Subdimensions</t>
  </si>
  <si>
    <t>Evaluation UL2</t>
  </si>
  <si>
    <t>Flan-UL2 k=10</t>
  </si>
  <si>
    <t>Evaluation FLAN-UL2</t>
  </si>
  <si>
    <t>Demographics of the target of the process if involves people</t>
  </si>
  <si>
    <t xml:space="preserve"> Purpose is to preserveof cultural heritage of the balinese culture, by providing a dataset to train and evalaute the performance in character recognitiion on Balinese
Gaps: There is a lack of data in balinese
Tasks: Image-classification, object-detection, character-recognition</t>
  </si>
  <si>
    <t xml:space="preserve"> To train and evalaute character recognition systems in Balinese</t>
  </si>
  <si>
    <t>Have been tested using YOLO, not metrics provided…</t>
  </si>
  <si>
    <t>authors</t>
  </si>
  <si>
    <t xml:space="preserve"> The study is supported by the Directorate General of Higher Education, Ministry of Education and Culture
Republic of Indonesia under grant number 1564/PKS/ITS/2022.</t>
  </si>
  <si>
    <t>Available in figshare: DOI https://doi.org/10.6084/
m9.figshare.20103803.v2 (2022).</t>
  </si>
  <si>
    <t>Freely accesible, no mention about other conditions</t>
  </si>
  <si>
    <t>Composed of 600 images in JPEG. Every image following the format &lt;filanem&gt;.jpg and 600 txt files, following the same format. Also have a n annotation file which follows the YOLO format. &lt;ID&gt; &lt;x&gt; &lt;y&gt; &lt;width&gt; &lt;height&gt;, for instance: 54 0.068000 0.083333 0.016000 0.073333
where &lt;ID&gt; is the object class ID, &lt;x&gt; is x coordinate, &lt;y&gt; is y coordinate, &lt;width&gt; is width of the bounding
box, and &lt;height&gt; is heigh of the bounding box</t>
  </si>
  <si>
    <t>From librires in Unversity in Bali, images where scanned</t>
  </si>
  <si>
    <t>Physical data collection</t>
  </si>
  <si>
    <t>Internal team, do not have demographics</t>
  </si>
  <si>
    <t>Libraries at the University of Bali, and scanners as infrastructure</t>
  </si>
  <si>
    <t>University of Bali</t>
  </si>
  <si>
    <t>Bounding boxes</t>
  </si>
  <si>
    <t>Authors, internal, no demogrpahics</t>
  </si>
  <si>
    <t>LabelImg</t>
  </si>
  <si>
    <t>Using YOLO</t>
  </si>
  <si>
    <t>To provide a dataset for Kurdish digits recognition, to train ML models 
Gaps: In comparison to other languages such as Arab, there is no other in Kurdish to perform digit recognition</t>
  </si>
  <si>
    <t>The datasets can be used for handwriting optical character/digit recognition and identifi- cation using machine learning and deep learning models. 
The datasets can be used as a standard for usability and quality in subsequent works because they were collected in a precise way, and it is vast data that can achieve higher accuracy in designed models.</t>
  </si>
  <si>
    <t>No grants</t>
  </si>
  <si>
    <t>No clear mention, authors should be maintainers</t>
  </si>
  <si>
    <t>Data identification number: 10.17632/zb66pp7vjh.1 Direct URL to data: https://dx.doi.org/10.17632/zb66pp7vjh.1</t>
  </si>
  <si>
    <t>Not mentioned, data is freely accesible</t>
  </si>
  <si>
    <t>Images in JPG and the annotation in bounding boxes</t>
  </si>
  <si>
    <t>gathering handwritten data from participants via designed forms which are labelled to indicate the type and position of the character/digit. The second step is a scanner device that scans the collected data in forms.</t>
  </si>
  <si>
    <t>Manual Human Curator</t>
  </si>
  <si>
    <t>Data collection forms were collected from more than 1500 participants., External, no demographics</t>
  </si>
  <si>
    <t xml:space="preserve">No
</t>
  </si>
  <si>
    <t>Participants, using froms and scanners</t>
  </si>
  <si>
    <t>Halbaja, Kurdistan Region in Iraq</t>
  </si>
  <si>
    <t>Each image is labeled with an ID number, each number represents a unique character</t>
  </si>
  <si>
    <t>Bounding Boxes</t>
  </si>
  <si>
    <t>Unique ID</t>
  </si>
  <si>
    <t>Not clear</t>
  </si>
  <si>
    <t>60/40</t>
  </si>
  <si>
    <t>In table 1, shows de 55 Belinese characters classes and its disitribution</t>
  </si>
  <si>
    <t xml:space="preserve"> CRediT: F1: No resultsad</t>
  </si>
  <si>
    <t xml:space="preserve"> The dataset includes labels for diagnosis (Melanoma, Lymphoma, Lung Cancer, Negative), patient sex, number of studies, age (mean and standard deviation), patient body weight, injected activity, whether CT was contrast-enhanced, and manual tumor segmentation.</t>
  </si>
  <si>
    <t>Polygonal setgmentation</t>
  </si>
  <si>
    <t>Polygonal segmentation</t>
  </si>
  <si>
    <t>Hallucination Type (Extrinsec or intrisec)</t>
  </si>
  <si>
    <t xml:space="preserve"> Intrisec</t>
  </si>
  <si>
    <t>Intrisec: Both models has confused the paper publication time with the data gathering timeframe</t>
  </si>
  <si>
    <t>Intrinsec</t>
  </si>
  <si>
    <t>GPT3.5</t>
  </si>
  <si>
    <t>Instrinsec hallcination</t>
  </si>
  <si>
    <t>Instrisic hallucinations</t>
  </si>
  <si>
    <t>FLAN-UL2 Overall Results</t>
  </si>
  <si>
    <t>Dimension Overall Results</t>
  </si>
  <si>
    <t xml:space="preserve">Experiment complete results of the publication: 
"Exploring the use of Language Models to Enhance Datasets Explainability via Documentation" </t>
  </si>
  <si>
    <t>What can be found in this sheet?</t>
  </si>
  <si>
    <t>Overall!A1</t>
  </si>
  <si>
    <t>GPT!A1</t>
  </si>
  <si>
    <t>FLANUL2!A1</t>
  </si>
  <si>
    <t>Title</t>
  </si>
  <si>
    <t>Publisher</t>
  </si>
  <si>
    <t>Year</t>
  </si>
  <si>
    <t>Sheet</t>
  </si>
  <si>
    <t>Link</t>
  </si>
  <si>
    <t>Field</t>
  </si>
  <si>
    <t>An annotated image dataset for training mosquito species recognition system on human skin</t>
  </si>
  <si>
    <t>Biodiverisity</t>
  </si>
  <si>
    <t>Nature</t>
  </si>
  <si>
    <t>Mosquito!A1</t>
  </si>
  <si>
    <t>https://www.nature.com/articles/s41597-022-01541-w</t>
  </si>
  <si>
    <t>Dataset sample used in the experiments</t>
  </si>
  <si>
    <t>A whole-body FDG-PET/CT Dataset with manually annotated Tumor Lesions</t>
  </si>
  <si>
    <t>Medical</t>
  </si>
  <si>
    <t>https://www.nature.com/articles/s41597-022-01718-3</t>
  </si>
  <si>
    <t>A speech corpus of Quechua Collao for automatic dimensional emotion recognition</t>
  </si>
  <si>
    <t>Language</t>
  </si>
  <si>
    <t>https://www.nature.com/articles/s41597-022-01855-9</t>
  </si>
  <si>
    <t>A patient-centric dataset of images and metadata for identifying melanomas using clinical context</t>
  </si>
  <si>
    <t>https://www.nature.com/articles/s41597-021-00815-z</t>
  </si>
  <si>
    <t>The Leaf Clinical Trials Corpus: a new resource for query generation from clinical trial eligibility criteria</t>
  </si>
  <si>
    <t>https://www.nature.com/articles/s41597-022-01521-0</t>
  </si>
  <si>
    <t>An annotated dataset for event-based surveillance of antimicrobial resistance</t>
  </si>
  <si>
    <t>Epidemiology</t>
  </si>
  <si>
    <t>https://www.sciencedirect.com/science/article/pii/S2352340922010733</t>
  </si>
  <si>
    <t>Elsevier</t>
  </si>
  <si>
    <t>Human-annotated dataset for social media sentiment analysis for Albanian language</t>
  </si>
  <si>
    <t>Social Media</t>
  </si>
  <si>
    <t>https://www.sciencedirect.com/science/article/pii/S2352340922006333</t>
  </si>
  <si>
    <t>Dataset of prostate MRI annotated for anatomical zones and cancer</t>
  </si>
  <si>
    <t>https://www.sciencedirect.com/science/article/pii/S235234092200943X</t>
  </si>
  <si>
    <t>DSAIL-Porini: Annotated camera trap image data of wildlife species from a conservancy in Kenya</t>
  </si>
  <si>
    <t>https://www.sciencedirect.com/science/article/pii/S2352340922010666</t>
  </si>
  <si>
    <t>https://www.sciencedirect.com/science/article/pii/S2352340923000690</t>
  </si>
  <si>
    <t>A stance dataset with aspect-based sentiment information from Indonesian COVID-19 vaccination-related tweets</t>
  </si>
  <si>
    <t>DeepLontar dataset for handwritten Balinese character detection and syllable recognition on Lontar manuscript</t>
  </si>
  <si>
    <t>https://www.nature.com/articles/s41597-022-01867-5</t>
  </si>
  <si>
    <t>A vast dataset for Kurdish handwritten digits and isolated characters recognition</t>
  </si>
  <si>
    <t>https://www.sciencedirect.com/science/article/pii/S2352340923001324</t>
  </si>
  <si>
    <t>Body!A1</t>
  </si>
  <si>
    <t>Quechua!A1</t>
  </si>
  <si>
    <t>Melanoma!A1</t>
  </si>
  <si>
    <t>Leaf!A1</t>
  </si>
  <si>
    <t>Antimicrobial!A1</t>
  </si>
  <si>
    <t>Albanian!A1</t>
  </si>
  <si>
    <t>Prostate!A1</t>
  </si>
  <si>
    <t>Kenya!A1</t>
  </si>
  <si>
    <t>Indonesia!A1</t>
  </si>
  <si>
    <t>Lontar!A1</t>
  </si>
  <si>
    <t>Kurdish!A1</t>
  </si>
  <si>
    <r>
      <t xml:space="preserve">In this file you can see the </t>
    </r>
    <r>
      <rPr>
        <b/>
        <sz val="12"/>
        <color theme="1"/>
        <rFont val="Calibri"/>
        <family val="2"/>
        <scheme val="minor"/>
      </rPr>
      <t xml:space="preserve">Overall </t>
    </r>
    <r>
      <rPr>
        <sz val="12"/>
        <color theme="1"/>
        <rFont val="Calibri"/>
        <family val="2"/>
        <scheme val="minor"/>
      </rPr>
      <t>sheet, with the overall results of the experiment (as shown in the paper manuscript)</t>
    </r>
  </si>
  <si>
    <r>
      <t>In the</t>
    </r>
    <r>
      <rPr>
        <b/>
        <sz val="12"/>
        <color theme="1"/>
        <rFont val="Calibri"/>
        <family val="2"/>
        <scheme val="minor"/>
      </rPr>
      <t xml:space="preserve"> GPT </t>
    </r>
    <r>
      <rPr>
        <sz val="12"/>
        <color theme="1"/>
        <rFont val="Calibri"/>
        <family val="2"/>
        <scheme val="minor"/>
      </rPr>
      <t xml:space="preserve">and </t>
    </r>
    <r>
      <rPr>
        <b/>
        <sz val="12"/>
        <color theme="1"/>
        <rFont val="Calibri"/>
        <family val="2"/>
        <scheme val="minor"/>
      </rPr>
      <t>FLANUL2</t>
    </r>
    <r>
      <rPr>
        <sz val="12"/>
        <color theme="1"/>
        <rFont val="Calibri"/>
        <family val="2"/>
        <scheme val="minor"/>
      </rPr>
      <t xml:space="preserve"> sheet, you can find the overall results per dimension and subdimension of the two different models</t>
    </r>
  </si>
  <si>
    <r>
      <t xml:space="preserve">The </t>
    </r>
    <r>
      <rPr>
        <b/>
        <sz val="12"/>
        <color theme="1"/>
        <rFont val="Calibri"/>
        <family val="2"/>
        <scheme val="minor"/>
      </rPr>
      <t>sample of the datasets</t>
    </r>
    <r>
      <rPr>
        <sz val="12"/>
        <color theme="1"/>
        <rFont val="Calibri"/>
        <family val="2"/>
        <scheme val="minor"/>
      </rPr>
      <t xml:space="preserve"> used in this experiments is explained in the </t>
    </r>
    <r>
      <rPr>
        <b/>
        <sz val="12"/>
        <color theme="1"/>
        <rFont val="Calibri"/>
        <family val="2"/>
        <scheme val="minor"/>
      </rPr>
      <t>table below</t>
    </r>
  </si>
  <si>
    <r>
      <t xml:space="preserve">The others sheets represents the </t>
    </r>
    <r>
      <rPr>
        <b/>
        <sz val="12"/>
        <color theme="1"/>
        <rFont val="Calibri"/>
        <family val="2"/>
        <scheme val="minor"/>
      </rPr>
      <t>results of each of the dataset</t>
    </r>
    <r>
      <rPr>
        <sz val="12"/>
        <color theme="1"/>
        <rFont val="Calibri"/>
        <family val="2"/>
        <scheme val="minor"/>
      </rPr>
      <t>, together with the ground truth annotated by the auhtors, the agreed evaluation of each results, and the characterization of the hallucination issues. The evaluation of the results have been done using 5 categories. Where Very Good and Good, has been marked as "correct". Fair and Bad, as "uncorrect", and Hallucinate as "unfaithful"</t>
    </r>
  </si>
  <si>
    <t>Inter-annotation agreement</t>
  </si>
  <si>
    <t>Overall Inter-annotation agreement</t>
  </si>
  <si>
    <t>Inter-annottation agreement</t>
  </si>
  <si>
    <t>These data are valuable for monitoring and analyzing public opinion on Twitter related to the COVID-19 vaccination program during Indonesia’s first ten months of the vaccination pro- gram, which is helpful as a guide in the development of policies. These data concern the opinion of Indonesians toward COVID-19 vaccination and serve as literature for public authorities to detect Indonesian sentiment toward the COVID-19 vacci- nation policies, which have some skeptics in several social groups. Moreover, these data can be used for many research purposes, including stance detection and aspect-based sentiment analysis, especially public opinion analysis on Twitter. This data can help the research community develop state-of-the-art models for stance de- tection on tweets, especially Indonesian opinion. Moreover, there may be another pandemic with vaccination policies, so the data can be compared and referenced for developing models. This data is not only for validating sentiment and contextual information for stance detection but can also be used for public opinion analysis of vaccination programs that tend to have pros and cons opin- ion. This dataset adds value aspect-based sentiment information as sub-topics for more accurate sentiment information at the aspect level on tweets, which possibly contains multiple issues discussed. Network features based on interaction relationships were provided for generated user community knowledge. Other researchers may use this data for aspect-based sentiment analysis on tweets to help identify sentiment more accurately, especially on short text.</t>
  </si>
  <si>
    <t>No specific recommendations (or non-recommendations) are given besides the purposes of the dataset above</t>
  </si>
  <si>
    <t>The authors applied five machine learning and four sequential-based deep learning models. Five machine-learning models, including Naïve Bayes (NB), K-Nearest Neighbor (KNN), Decision Tree (DT), Support Vector Machine (SVM), and Random Forest (RF). Four deep learning models, including Gated Recurrent Unit (GRU), Bidirectional GRU (BiGRU), Long Short-Term Memory (LSTM), and Bidirectional L STM (BiL STM) were also applied.</t>
  </si>
  <si>
    <t>Diana Purwitasari: Conceptualization, Methodology, Supervision, Funding acquisition, Writ- ing –review &amp; editing, Project administration; Cornelius Bagus Purnama Putr a: Conceptual- ization, Methodology, Software, Writing –original draft, Data curation, Investigation; Agus Budi Raharjo: Writing –review &amp; editing.</t>
  </si>
  <si>
    <t>The work was supported by Indonesian Ministry of Research and Technology under Grant No. 084/E5/PG.02.00.PT/2022 with an institutional contract No. 1440/PKS/ITS/2022 .</t>
  </si>
  <si>
    <t>No specific guidelines are provided</t>
  </si>
  <si>
    <t>Direct URL to data: https://data.mendeley.com/datasets/7ky2jbjwtn/3</t>
  </si>
  <si>
    <t>Explicit information about the dataset license is not provided. The models that have been trained with the dataset have not been published.</t>
  </si>
  <si>
    <t>Not specified</t>
  </si>
  <si>
    <t>There were three data files in our dataset and readme file. All raw data (filtered and unfiltered list of tweets used in this study) are available in the repository Mendeley Data. The labeled dataset contains six columns (id, user_id, community, aspect_category, aspect_sentiment, stance). All the columns, except community, aspect_category, aspect_sentiment, and stance, are collected using Twitter API services. Meanwhile, the initial and cleaned dataset only contains two columns (id and user_id).</t>
  </si>
  <si>
    <t>No specific recommendation is done, but the paper mentions in section 3.4 that each model was evaluated using 5-fold cross-validation to use 80% for learning and 20% of labeled data for testing the model.</t>
  </si>
  <si>
    <t>The paper does not specify any consistency rules or constraints. Table 2 and Figure 2 describes the distribution of the dataset.</t>
  </si>
  <si>
    <t xml:space="preserve">The data were collected using Twitter API 1 on Python with specific keywords: vaksin (vac- cines) and vaksinasi (vaccination). The tweets used are Indonesian tweets posted between January and October 2021, Indonesia’s first period of COVID-19 vaccination. We collected a max- imum of 250,0 0 0 sample tweets each month to overcome the limitations of Twitter API services. This process collects the text of a tweet and other related information, including Twitter met- rics and user metadata. There were 2,400,414 Indonesian COVID-19 vaccine-related tweets from 576,488 Twitter users ( Indo_vaccination_raw.csv ) as the initial dataset. The study selected Indone- sian tweets based on the attribute language “in”on Twitter API services. However, we found a lot of irrelevant data, including non-Bahasa (Indonesian language), non-COVID-19 vaccine- related, and spam tweets, so we conducted data preprocessing and cleaning to remove the irrel- evant data for the cleaned dataset. The first step in data preprocessing was case folding to map the text to lowercase format. The irrelevant Twitter attributes were removed, including user mentions, hashtags, numbers, symbols, and emojis. The text of tweets generally contains slang words. Therefore, text normal- ization was carried out based on the Indonesian slang corpus 2 . Further data preprocessing in- cludes lemmatization using NLP-ID 3 and removing the stopwords using Sastrawi 4 . After the data preprocessing was complete, data cleaning was carried out, thus removing the irrelevant data (such as non-Bahasa, non-COVID-19 vaccine-related, and spam tweets). We found that in our initial dataset, there are many Malaysian tweets, even though it has been selected based on the Twitter attribute. Therefore, we filtered non-Bahasa (Malaysian tweets) and non-COVID-19 vaccine-related tweets based on the collected keywords. Moreover, we removed a tweet posted by the government to prevent bias in data; the government tends to support the COVID-19 vaccination policy and continuously posted du- plicate tweets to exaggerate information (spam tweets). We also only used accounts over 12 months since November 2021 because there is a possibility that a new Twitter account is a spammer. Finally, we obtained the cleaned dataset of 248,604 posts from 140,761 users ( Indo_vaccination_cleaned.csv ), representing 10% of the initial dataset ( Indo_vaccination_raw.csv ). </t>
  </si>
  <si>
    <t>Web API, Web scraping</t>
  </si>
  <si>
    <t>No specific demographics are specified</t>
  </si>
  <si>
    <t>No specific demographics of the target subjects are specified (besides the language)</t>
  </si>
  <si>
    <t>The data was collected from Twitter</t>
  </si>
  <si>
    <t xml:space="preserve">January to October 2021, no specific location is specified </t>
  </si>
  <si>
    <t>Three independent analysts—two researchers in natural language pro- cessing (one MSc-level and one BSc-level) and one communication science expert (BS c -level)—labeled the data manually and used the majority voting strategy for the final class label.  This study applied data labeling using LabelStudio . For stance labeling, each tweet was annotated into three classes: favor, against, and neutra l. The tweet was given an favo r or against label if the opinion supported or opposed the target. The tweet was labeled neutral if the opinion was neither of these two cases or the statement about the target was inconclusive.</t>
  </si>
  <si>
    <t>textual categorization</t>
  </si>
  <si>
    <t>The labels were the aspect category (ser- vices, implementation, apps, costs, participants, vaccine products , and general) and the sentiment (favor, against, neutral)</t>
  </si>
  <si>
    <t>Three independent analysts—two researchers in natural language pro- cessing (one MSc-level and one BSc-level) and one communication science expert (BS c -level)—labeled the data manually. No demoagraphicas information (besides it's position) is given.</t>
  </si>
  <si>
    <t>LabelStudio</t>
  </si>
  <si>
    <t>No explanation are given about the validation of the dataset. Section 3.4 reports on the potential and quality of the data set for the stance detection task.</t>
  </si>
  <si>
    <r>
      <t xml:space="preserve">The first step in data preprocessing was </t>
    </r>
    <r>
      <rPr>
        <b/>
        <sz val="11"/>
        <color theme="1"/>
        <rFont val="Calibri"/>
        <family val="2"/>
        <scheme val="minor"/>
      </rPr>
      <t>case folding</t>
    </r>
    <r>
      <rPr>
        <sz val="12"/>
        <color theme="1"/>
        <rFont val="Calibri"/>
        <family val="2"/>
        <scheme val="minor"/>
      </rPr>
      <t xml:space="preserve"> to map the text to lowercase format. The irrelevant Twitter attributes were removed, including user mentions, hashtags, numbers, symbols, and emojis. The text of tweets generally contains slang words. Therefore</t>
    </r>
    <r>
      <rPr>
        <b/>
        <sz val="11"/>
        <color theme="1"/>
        <rFont val="Calibri"/>
        <family val="2"/>
        <scheme val="minor"/>
      </rPr>
      <t>, text normal- ization</t>
    </r>
    <r>
      <rPr>
        <sz val="12"/>
        <color theme="1"/>
        <rFont val="Calibri"/>
        <family val="2"/>
        <scheme val="minor"/>
      </rPr>
      <t xml:space="preserve"> was carried out based on the Indonesian slang corpus 2 . Further data preprocessing in- cludes </t>
    </r>
    <r>
      <rPr>
        <b/>
        <sz val="11"/>
        <color theme="1"/>
        <rFont val="Calibri"/>
        <family val="2"/>
        <scheme val="minor"/>
      </rPr>
      <t>lemmatization</t>
    </r>
    <r>
      <rPr>
        <sz val="12"/>
        <color theme="1"/>
        <rFont val="Calibri"/>
        <family val="2"/>
        <scheme val="minor"/>
      </rPr>
      <t xml:space="preserve"> using NLP-ID 3 and removing the stopwords using Sastrawi 4 . After the data preprocessing was complete, </t>
    </r>
    <r>
      <rPr>
        <b/>
        <sz val="11"/>
        <color theme="1"/>
        <rFont val="Calibri"/>
        <family val="2"/>
        <scheme val="minor"/>
      </rPr>
      <t>data cleaning</t>
    </r>
    <r>
      <rPr>
        <sz val="12"/>
        <color theme="1"/>
        <rFont val="Calibri"/>
        <family val="2"/>
        <scheme val="minor"/>
      </rPr>
      <t xml:space="preserve"> was carried out, thus removing the irrelevant data (such as non-Bahasa, non-COVID-19 vaccine-related, and spam tweets). We found that in our initial dataset, there are many Malaysian tweets, even though it has been selected based on the Twitter attribute. Therefore, we filtered non-Bahasa (Malaysian tweets) and non-COVID-19 vaccine-related tweets based on the collected keywords.</t>
    </r>
  </si>
  <si>
    <t>data normalization, Outlier filtering, remove duplicates</t>
  </si>
  <si>
    <t>No specific biases of the data are specified</t>
  </si>
  <si>
    <t>No specifid sepresentativeness is mentioned (besides the obvious: focuses on Indonesian speakers)</t>
  </si>
  <si>
    <t>Data from Twitter could be used with care for the Privacy and Control of Twitter users. In the discussion, we processed the data and did not mention the pri- vacy information to protect Twitter users and ensure anonymity.</t>
  </si>
  <si>
    <t>The dataset can be used in training and testing object detec- tion and classification machine learning models, and to test methodologies to derive sex ratios and species distribution range maps from camera trap data.</t>
  </si>
  <si>
    <t>The dataset can be used to test methodology to derive sex ratios and species distribution range maps from camera trap data. There are no non-recommended uses.</t>
  </si>
  <si>
    <t>Lorna Mugambi: Software, Data curation, Writing –original draft; Jason N. Kabi: Software, Writing –review &amp; editing; Gabriel Kiarie: Software, Writing –review &amp; editing; Ciira wa Maina: Conceptualization, Writing –review &amp; editing, Supervision. Special thanks to Kaindio Kimathi, a warden at the wildlife conservancy who helped validate the annotation of the dataset.</t>
  </si>
  <si>
    <t>The work was funded by Data Science Africa through the Centre for Data Science and Arti- ficial Intelligence (DSAIL) program, Canada’s International Development Research Centre (IDRC), and the Swedish International Development Cooperation Agency (Sida) through the Artificial In- telligence for Development in Africa (AI4D Africa) program. We also thank Google for a research award to DSAIL.</t>
  </si>
  <si>
    <t>No specific information is given about the maintainers or maintenance policies</t>
  </si>
  <si>
    <t>Direct URL to data: https://data.mendeley.com/datasets/6mhrhn7rxc/6</t>
  </si>
  <si>
    <t>No license information is given in the paper regarding the dataset or the associated software.</t>
  </si>
  <si>
    <t>No deprecation policies are specified</t>
  </si>
  <si>
    <t>Annotation of the images includes: species in an image, the count, sex of the animals, and the coordinates of the camera trap for each image captured. The data annotation is available on Mendeley Data as a .xlsx file. Images from the Raspberry Pi 2 and Raspberry Pi Zero are saved in one folder, ‘RaspberryPi_images’. In this folder, there are subfolders named in order of when the camera traps were deployed in the conservancy while images from the OpenMV Cam H7 are saved in another folder, ‘OpenMV_images’.</t>
  </si>
  <si>
    <t>Unspecified</t>
  </si>
  <si>
    <t>The paper does not specify any constraints or consistency rules. Some data is given about count and sex distribution in section 1.2 and Figures 3 and 4</t>
  </si>
  <si>
    <t>The data were acquired using camera traps deployed in a wildlife conservancy during the day. Two camera traps use the Raspberry Pi 2, one uses the Raspberry Pi Zero and the other uses the OpenMV Cam H7 [4] . 7589 images are from the Raspberry Pi 2, 610 images are from the Raspberry Pi Zero, and 325 images are from the OpenMV Cam H7 [4] . The images from the Raspberry Pi 2 and the Raspberry Pi Zero have an image size of 1280 ×720 pixels while the images from the OpenMV Cam H7 have a size of 640 ×480 pixels. All the images are in JPG format. Once the Passive Infrared (PIR) sensor is triggered, an image is captured and saved in the micro-SD card. The program has a 2-second delay meaning it will wait 2 seconds before cap- turing another image even if the sensor is triggered. The captured images are saved with the format YYYY-MM-DD-H-M-S, to help keep track of the exact time the image was captured.</t>
  </si>
  <si>
    <t>Physycal data collection, Image data</t>
  </si>
  <si>
    <t>The team gathering the data were the authors (not clear if all): Lorna Mugambi, Jason N. Kabi, Gabriel Kiarie, Ciira wa Maina. No specific information about their demographics is given.</t>
  </si>
  <si>
    <t>The dataset consists of camera trap images collected at the Dedan Ki- mathi University Wildlife Conservancy (DeKUWC) in Kenya [3]. The dataset consists of 8524 images from the four camera traps deployed. Two camera traps use the Raspberry Pi 2, one uses the Raspberry Pi Zero and the other uses the OpenMV Cam H7 [4] .</t>
  </si>
  <si>
    <t>Images collected at the Dedan Kimathi University Wildlife Conservancy (DeKUWC) in Kenya</t>
  </si>
  <si>
    <t>The DSAIL-Porini dataset was manually annotated.</t>
  </si>
  <si>
    <t>Image and video annotations</t>
  </si>
  <si>
    <t>Filename, Device, Species, Count, Sex, Latitude, Longitude</t>
  </si>
  <si>
    <t>Lorna Mugambi and Kaindio Kimathi. No demosgraphics information is given.</t>
  </si>
  <si>
    <t>No specific information is given. The DSAIL-Porini dataset was manually annotated. The annotation were collected in an Excel file.</t>
  </si>
  <si>
    <t>Kaindio Kimathi, a warden at the wildlife conservancy helped validate the annotation of the dataset.</t>
  </si>
  <si>
    <t>No specific pre-processing is done to the data (outside the gathering and the labeling)</t>
  </si>
  <si>
    <t>None</t>
  </si>
  <si>
    <t>No potential biases are specified</t>
  </si>
  <si>
    <t>No data imbalances are described, although the number of individuals for each specie may vary a lot. In any case, this is mentioned as a factor to determine future population sizes rather than as a adata imalance.</t>
  </si>
  <si>
    <t>The authors specify that no ethics issues apply to this dataset.</t>
  </si>
  <si>
    <t>The purpose is to provide an annotated, publicly available dataset of PET/CT images that enables technical and clinical research in the area of machine learning-based analysis of PET/CT studies and to demonstrate a use case of deep learning-based automated segmentation of tumor lesions</t>
  </si>
  <si>
    <t>The provided data can be used by researchers of different backgrounds for the development and evaluation of machine learning methods for PET/CT analysis as well as for clinical research regarding the included tumor entities.
Non-recommended uses are not specified.</t>
  </si>
  <si>
    <t>The dataset has been tested with a deep learning model for automated PET lesion segmentation (uuNet).</t>
  </si>
  <si>
    <t>Sergios Gatidis, Daniel Rubin, Thomas Küstner, Tobias Hepp</t>
  </si>
  <si>
    <t>The research has been funded by the Stanford University, the University of Tübingen,  the Germany’s Excellence Strategy–EXC-Number 2064/1–390727645 and EXC 2180/1-390900677 and the DEAL Project.</t>
  </si>
  <si>
    <t>The data presented in this manuscript is part of the MICCAI autoPET challenge 2022 (https://autopet.
grand-challenge.org/).</t>
  </si>
  <si>
    <t>The licenses are not specified in the paper</t>
  </si>
  <si>
    <t>Not specified.</t>
  </si>
  <si>
    <t>Fig. 2 provides information about the folder and files structure. Using pytonh scripts, new files and formats can be generated. The dataset if composed of DICOM images and CSV files with metadata. The fileds of the CSV files are (informally) described.</t>
  </si>
  <si>
    <t>No consistency rules are provided.
Some statistics are given in Fig. 2 (mean age per diagnosis and age, std. dev.). Also, in the "Data properties" Section some absolute numbers are given: Of the 1014 studies (900 unique patients) included in this dataset, one study was included of 819 patients, two studies were included of 59 patients, 3 studies of 14 patients, 4 studies of 4 patients and 5 studies of 3 patients.</t>
  </si>
  <si>
    <t>Publication of anonymized data was approved by the institutional ethics committee of the Medical Faculty of the University of Tübingen as well as the institutional data security and privacy review board. Data from 1,014 whole-body FDG-PET/CT examinations of 900 patients acquired between 2014 and 2018 as part of a prospective registry study9 were included in this dataset</t>
  </si>
  <si>
    <t>Medical data</t>
  </si>
  <si>
    <t>Sergios Gatidis, Daniel Rubin, Thomas Küstner, Tobias Hepp (probably).
No demographics are given</t>
  </si>
  <si>
    <t>Mean ages are provided in Fig. 2. Regarding positives and negatives: The selection criteria for positive samples were: age &gt;18 years, histologically confirmed diagnosis of lung cancer, lymphoma or malignant melanoma, and presence of at least one FDG-avid tumor lesion according to the final clinical report. The selection criteria for negative samples were: age &gt;18 years, no detectable FDG-avid tumor lesion according to the clinical radiology report.</t>
  </si>
  <si>
    <t>Clinical scanner (Siemens Biograph mCT, Siemens Healthineers, Knoxville, USA)</t>
  </si>
  <si>
    <t>University Hospital Tübingen between 2014 and 2018</t>
  </si>
  <si>
    <t>All examinations were assessed by a radiologist and nuclear medicine specialist in a clinical setting. Based on the report of this clinical assessment, all FDG-avid tumor lesions were segmented by an experienced radiologist using dedicated software.</t>
  </si>
  <si>
    <t>In case of uncertainty regarding lesion definition, the specific PET/CT studies were reviewed in consensus with the radiologist and nuclear medicine physician who prepared the initial clinical report. To this end CT and corresponding PET volumes were displayed side by side or as an overlay and tumor lesions showing elevated FDG-uptake (visually above blood-pool levels) were segmented in a slice-per-slice manner resulting in 3D binary segmentation masks</t>
  </si>
  <si>
    <t>To facilitate data usage, Python scripts that allow conversion of DICOM data to other medical image formats (NIfTI and mha) as well as the hdf5 format are provided.</t>
  </si>
  <si>
    <t>Others</t>
  </si>
  <si>
    <t>Data has been anonymized. The process was approved by the institutional ethics committee of the Medical Faculty of the University of Tübingen as well as the institutional data security and privacy review board.</t>
  </si>
  <si>
    <t>There is an emotion recognition gap for Quechua speakers. The dataset aims aim to fill this gap by creating a speech corpus of Quechua Collao for automatic emotion recognition, evaluating its usefulness using machine learning techniques and deep neural. The emotion recognition uses the dimensional approach, based on valence, arousal, and dominance.</t>
  </si>
  <si>
    <t>The goal is to provide a corpus of Quechua Collao for for automatic emotion recognition. It is not recommended for other variants of Quechua.</t>
  </si>
  <si>
    <t>The machine learning (ML) methods used are Support Vector Regression (SVR), K-neighbors Regression (KNR), and Random Forest Regression (RFR). They were implemented using Scikit-Learn40. The neural network models used are Multilayer Perceptron (MLP), Long Short-Term Memory (LSTM) network, and Convolutional Neural Network (CNN).</t>
  </si>
  <si>
    <t>J.E.C., R.Y.G.P.Y. and C.A.H.A. designed the script, designed, prepared, and conducted the data collection, pre-processed and constructed the corpus38, designed, and conducted the technical validation, and wrote the manuscript.</t>
  </si>
  <si>
    <t>The research was carried out as part of the Kusisqa project, whose funder is Proyecto Concytec - Banco Mundial, Mejoramiento y Ampliación de los Servicios del Sistema Nacional de Ciencia, Tecnología e Innovación Tecnológica with grant reference number Contract N° 014-2019-FONDECYT-BM-INC.INV. The authors acknowledge the contribution of the School of Computer Science, UNSA, for allowing us to use its facilities for recording sessions and for granting financial support.</t>
  </si>
  <si>
    <t>No information about contributing guidelines, update policies, etc. Is given.</t>
  </si>
  <si>
    <t>The corpus is available in Figshare (https://doi.org/10.6084/m9.figshare.20292516). Code and data splits in Github (https://github.com/qccData/qccCorpus)</t>
  </si>
  <si>
    <t>There is no explicit information about the license (in the references it can be seen that the corpus is CC BY and the code and data splits are GPL)</t>
  </si>
  <si>
    <t>The corpus38 can be downloaded as a zip file that contains 4 directories. All audio segments in WAV format
are found in the Audios folder; each audio is randomly named by numbers ranging from 10001 to 22420. This
action was carried out to avoid bias. Detailed information of each audio is found in a file inside the Data folder,
in a file named Data.csv. This file is made up of five columns, where:
• The Audio column contains the name of the WAV files.
• The Emotion column represents the categorical emotion of the audio segment.
• The Actor column contains the code of the actor who performed and interpreted the audio segment. The code
comprises an a and a number from 1 to 6 representing the six actors (example: a2).
• The File column contains the original name of each audio segment, this name is divided into two segments by
an underscore: The first represents the code of the actor, and the second segment is composed of a letter and
a number; the letter represents the emotion (H = Happy, T = Sad, B = Bored, F = Fear, S = Sleepy, C = Calm,
E = Excited, A = Angry, and N = Neutral) and the number represents the position of the audio segment. For example, the name a2_B159.wav indicates that the segment belongs to actor 2 (a2), that it belongs to the emotion
bored (B), and that it is the 159th segment in this set.
• Duration (s) column indicates the duration in seconds of each audio segment.
The annotations for each audio segment are found in the Labels folder, and the emotional dimensions of
valence are found in the Valence.csv file, which is made up of 5 columns: the first contains the name of the audio
segment, and the other four store the label made by each annotator. For example, the second column contains
the labels made by annotator 1, represented by the code N1. The values for the emotional dimension of arousal
and the emotional dimension of dominance are found in the files Arousal.csv and Dominance.csv, respectively,
and have the same structure as the Valence.csv file.
The general average of each emotional dimension is found in the Labels.csv file, also within the Labels folder,
where the first column represents the name of the audio segment, the second, third, and fourth columns contain
the average of the labels made by the four annotators of the dimensions emotional valence, arousal, and dominance
respectively.
Finally, the Script folder contains Script.xlsx, which is the script used for the corpus38 creation. This file
comprises 9 sheets for the 9 categorical emotions used. Each word and sentence has an ID that employs the same
notation as that of the File column of Data.xlsx, explained previously, without considering the actor prefix. For
example, T159 is an ID that corresponds to the 159th sentence of the Sad emotion.</t>
  </si>
  <si>
    <t>No explicit recommendation is made, but the paper mentions that data is split in three sets: 60% for training, 20% for validation, and 20% for testing</t>
  </si>
  <si>
    <t>No specific consistency rules or constrainst are provided. Histograms for each dimensional attribute in the Quechua Collao corpus are provided in Fig. 3.</t>
  </si>
  <si>
    <t>Script creation. Our script comprises 378 words and 1692 sentences, making a total of 2070 instances. These
were extracted from different texts written in Quechua Collao, while most of them include a Spanish translation22–
36. The complete script is divided into nine parts, each consisting of 42 words and 188 sentences. These
parts correspond to 9 categorical emotions: happy, sad, bored, fear, sleepy, calm, excited, angry, and neutral. Most
words and sentences were chosen according to the emotions that were used. For example, the sentence “Sumaqmi
ñawiyki”, which means “your eyes are pretty”, was selected to represent happy emotion.
The script construction was done in five phases. In the first phase, all the documents from which all the
words and sentences were extracted were investigated. The second phase was carried out by three people who
built the script. These first two phases were carried out by people who speak Spanish natively but do not speak
any variant of Quechua. In the third phase, an expert in the Quechua Collao language reviewed and corrected
the entire script and provided other sources to replace some sentences per emotion. The fourth phase consisted
of selecting these new sentences and replacing some old ones. Finally, the fifth phase was accomplished by a
second Quechua language expert, who translated sentences from Spanish into Quechua Collao and made corrections
to the entire script.
Recording sessions. The recording sessions were performed with semi-professional microphones and at
semi noiseless spaces at the School of Computer Science - UNSA. The actors were mostly mid-age native Quechua
speakers that were paid to record. The whole script (2070 instances) was planned to be recorded by each actor
of a group of three women and three men in order to have balanced data in terms of gender. However, an actress
(Actress 5) could not finish due to unexpected situations, so her work was completed by another actress (Actress 7).
Table 1 shows information related to actors.
A session consists of one emotion’s recording per actor (230 instances). Previous to the recording, the actors
were given the scripts and asked to rehearse with the linguist expert. In each session, the actor/actress is asked to
read the script while interpreting the target emotion, and its interpretation is evaluated. If the evaluator decides
the performance or pronunciation is inadequate, then the recording of the instance is repeated, asking the actor/
actress to remember situations in the past or giving them hypothetical situations so emotions can be elicited. To
avoid performance fatigue, each session was divided into five groups of 46 instances, and after recording each
group, a pause of around 5 minutes was done.
The audios were recorded using one of the following microphones: Emita USB Studio Microphone GXT 252
and Blue Snowball USB Microphone. The software used to record was Audacity, with a sample rate 44KHz and
one recording channel (mono). The scene setup for recordings is shown in Fig. 1.</t>
  </si>
  <si>
    <t>Audio or video recording</t>
  </si>
  <si>
    <t>J.E.C., R.Y.G.P.Y. and C.A.H.A. designed the script,
designed, prepared, and conducted the data collection. No demographics information is given.</t>
  </si>
  <si>
    <t>The actors were mostly mid-age native Quechua
speakers that were paid to record. The whole script (2070 instances) was planned to be recorded by each actor
of a group of three women and three men in order to have balanced data in terms of gender. However, an actress
(Actress 5) could not finish due to unexpected situations, so her work was completed by another actress (Actress 7).
Table 1 shows information related to actors</t>
  </si>
  <si>
    <t>The audios were recorded using one of the following microphones: Emita USB Studio Microphone GXT 252
and Blue Snowball USB Microphone. The software used to record was Audacity, with a sample rate 44KHz and
one recording channel (mono). The scene setup for recordings is shown in Fig. 1.</t>
  </si>
  <si>
    <t>The recording sessions were performed with semi-professional microphones and at
semi noiseless spaces at the School of Computer Science - UNSA. No information about the specific dates is given.</t>
  </si>
  <si>
    <t>Two men and two women were employed and paid to annotate the audio labels. They are
Quechua Collao native speakers and Quechua instructors, ages ranging from 27 to 46. Each annotator labeled the 12420 audios over a 4-week period by assigning valence, arousal, and dominance
values. Each week, 3105 audios were released to be annotated. It must be noted that we only considered five days
a week dedicated to annotation. A methodology was recommended to ensure the annotation quality, suggesting
about 6 hours a day to annotate, preferably in two 3-hour groups, while taking a 10-minute pause after 1.5 hours.
During the last week, one of the female annotators had to be replaced by another female Quechua instructor due
to some external inconveniences.
The annotation process was performed using a sheet for each annotator, where they had to write the valence,
arousal, and dominance values for each audio. A scale of 1 to 5 was used, and visual aid was provided using
self-assessment manikins (SAMs)37. Figure 2 shows an example of the sheets used for annotation, where the first
column shows the audio filename, and the last three columns correspond to valence, arousal, and dominance.
In the header, 5 SAMs are shown for each emotional dimension, with a brief description in Spanish: Negative -
Positive for valence, Very calm - Very excited for arousal, and Submissive - Dominant for dominance.</t>
  </si>
  <si>
    <t>Content and textual categorization</t>
  </si>
  <si>
    <t>The lavels are the level of emotional valence, arousal, and dominance dimensions</t>
  </si>
  <si>
    <t>Two men and two women were employed and paid to annotate the audio labels. They are
Quechua Collao native speakers and Quechua instructors, ages ranging from 27 to 46</t>
  </si>
  <si>
    <t xml:space="preserve">The annotation process was manually done, using a sheet for each annotator, where they had to write the valence, arousal, and dominance values for each audio. </t>
  </si>
  <si>
    <t>No specific validation was done on the annotations.</t>
  </si>
  <si>
    <t>Theere were two segmentation stages. First, an automatic segmentation was performed using the software Praat. Each WAV file obtained from the recording session was divided into small segments using a script that splits the original audio file after detecting silence. However, this process is not flawless, and a manual segmentation had to be performed. Each audio segment was listened to by a person who verified if it was correct or not. If not, the segment was lengthened or shortened to avoid cutting off words and to delete noise or silence at the beginning or end of the segment. In addition, some fragments were merged when a word or sentence was split incorrectly. After the automatic and manual segmentation, the resulting audios were assigned a random name so they could be labeled without previous information on which emotion they belonged to by the annotators.</t>
  </si>
  <si>
    <t>Other</t>
  </si>
  <si>
    <t>No biases are specified (although it sais that the filenames are randomized to avoid biases WHILE ANNOTATING).</t>
  </si>
  <si>
    <t>The corpus is built over the variant Collao of Quechua. Thus, this variant has noticeable differences from other variants and should not be used to generalize Quechua. The main limitation is the emotional imbalance of the corpus38, which can lead to low performance in SER algorithms for labels of instances with low frequency. Furthermore, we must note that the recordings are performed in a controlled environment with only six mid-age speakers acting established emotions. Therefore, given these limitations, the recordings provide prototypical insights for studying emotions but they cannot fully represent the emotional expressions of all Quechua speakers that are observed in real life.</t>
  </si>
  <si>
    <t>Individual written informed consent was obtained from all participants involved in the study, where the actors and actresses were informed that their voices would be freely shared anonymously.</t>
  </si>
  <si>
    <t>This paper introduces a new mosquito images dataset that is suitable for training and evaluating a recognition system on mosquitoes in normal or smashed conditions. The images dataset served mainly for the development a machine learning model that can recognize the mosquito in the public community, which commonly found in the smashed/damaged form by human</t>
  </si>
  <si>
    <t>The dataset is recommended to build a MD model to recognize mosquitoes in the public community, specially in the smashed/damaged condition.
It is not recommended it usage in the case of skin tones of American, African, European, and Australian people</t>
  </si>
  <si>
    <t>A pilot test on the dataset has been carried out to validate the quality
of the dataset in terms of the feasibility of deep convolutional neural networks (DCNN) model construction at three learning rates (0.01-0.0001)</t>
  </si>
  <si>
    <t>S.Q.O. compiled the data, created the first dataset version, and wrote the first version of the manuscript</t>
  </si>
  <si>
    <t>The work was partly supported by Ministry of Higher Education Fundamental Research Grant Scheme (FRGS) (FRGS/1/2021/STG03/KDUPG/02/1</t>
  </si>
  <si>
    <t>No explicit information is given about the maintainer, and the dataset policies</t>
  </si>
  <si>
    <t>https://data.mendeley.com/datasets/zw4p9kj6nt/2</t>
  </si>
  <si>
    <t>The dataset is publicly available in
Mendeley Data. The paper does not specify a specific license for the dataset. The paper is licensed under CC BY 4.0.</t>
  </si>
  <si>
    <t>The image dataset consists of six root files which are raw image data of three mosquito species with two conditions,
respectively, and one data pre-processed file that could serve as an authenticated dataset in recognise
three of the mosquitoes, and subsequently applied by potential user such as machine learning engineer, apps
developer, data scientist, etc.</t>
  </si>
  <si>
    <t>No recommendation is explicitly given, but a 85-15 ratio has been used for training-testing.</t>
  </si>
  <si>
    <t>No important statistics or consistency rules are specified.</t>
  </si>
  <si>
    <t>the mosquitoes were bred and grew to adult stage, 4–5 days old in a fully control laboratory, Vector Control Research Unit, Universiti Sains Malaysia, which is accredited by WHO for insecticides susceptibility test5. The data collection process was illustrated in Fig. 1. The mosquito obtained from the mosquito breeding was transferred by a Polyethylene terephthalate (PET) container (diameter 12 cm, height 6 cm, Fig. 2a) to the net cage for image acquisition. The container and camera were placed in the cage for 30 minutes to allow the mosquito to adapt to the environment before images acquisition. The images were acquired by a digital single-lens reflex (DSLR) camera (Canon 7D, 18MP APS-C CMOS sensor, ISO 3200, auto white balance) with Tamron SP AF 90 mm f/2.8 Di Macro Lens. The images acquisition was performed on 4- to 5-day-old females’ adult in a netted cage with 34 W white light illumination on top of the cage. The volunteer consists of three ethnicities – Malay, Chinese and India, which aim to reflect the diversity of human skin tone. The volunteer’s palm is rest in the cage and different angles of the landed mosquitos’ images were acquired. Smashed mosquitoes were generated by smashing the mosquito randomly by a human palm in a non-feeding, partial, or fully repletion situation (Fig. 2b). The images were saved in JPEG format in the folders according to their classes. Images were later resized from original dimension into 224 × 224 pixels, to lower the file size of the images.</t>
  </si>
  <si>
    <t>No specific information about the team is specified</t>
  </si>
  <si>
    <t>The volunteer consists of three ethnicities – Malay, Chinese and India, which aim to reflect the diversity of human skin tone.</t>
  </si>
  <si>
    <t>The images were acquired by a digital single-lens reflex (DSLR) camera (Canon 7D, 18MP APS-C CMOS sensor, ISO 3200, auto white balance) with Tamron SP AF 90 mm f/2.8 Di Macro Lens, at Vector Control Research Unit, Universiti Sains Malaysia</t>
  </si>
  <si>
    <t>Vector Control Research Unit, Universiti Sains Malaysia. No information about dates is provided</t>
  </si>
  <si>
    <t>The source of mosquito adults is the pure bred of the susceptible strain of Ae. aegypti, Ae. albopictus and Cx quinquefasciatus from Vector Control Research Unit (VCRU), Universiti Sains Malaysia. The mosquitoes were cultured in insectarium for more than 20 years and used for the WHO insecticides susceptibility test9,10. Furthermore, before and after the image acquisition, the taxonomy of the mosquito were validated by two medical entomologist</t>
  </si>
  <si>
    <t>The data was annotated from prior knowledge, since the mosquitoes breeds were cultured in insectarium for more than 20 years. The taxonomy of the mosquito were validated by two medical entomologist before and after the image acquisition.</t>
  </si>
  <si>
    <t>The taxonomy of the mosquito were validated by two medical entomologist before and after the image acquisition.</t>
  </si>
  <si>
    <t>The images were saved in JPEG format in the folders according to their classes. Images were later resized from original dimension into 224 × 224 pixels, to lower the file size of the images.</t>
  </si>
  <si>
    <t>Resize, Augment</t>
  </si>
  <si>
    <t>The volunteers that participated in this dataset were Asian, and therefore is not covering the skin tone background of American, African, European, and Australian</t>
  </si>
  <si>
    <t>Lack of human skin tone diversity. The volunteers that participated in this dataset were Asian, and therefore is not covering the skin tone background of American, African, European, and Australian</t>
  </si>
  <si>
    <t>No privacy issues are mentioned. An ethics statement is made.</t>
  </si>
  <si>
    <t>The National Library of Medicine: R15LM013209, and the Nactiona Center for Advancing Translational Sciences of National Institues of Health: UL1TR002319</t>
  </si>
  <si>
    <t>Not mentioned explicitily</t>
  </si>
  <si>
    <t>Link of figshare</t>
  </si>
  <si>
    <t>CC4.0, no mention of third parties, attribution notices etc..</t>
  </si>
  <si>
    <t>No mention</t>
  </si>
  <si>
    <t>The Brat format includes
two file types, “.txt” files and “.ann” files. 
The annotation files used by Brat for tracking annotated spans of text and relations.
Each.ann file corresponds to a.txt file of the same name. Each row of a.ann file may begin with a “T” (for an entity)
or “R” (for a relation), followed by an incremental number for uniquely identifying the entity or relation (e.g.,
“T15”). “T” rows are of the form “T&lt;number&gt; &lt;entity type&gt; &lt;start character index&gt; &lt;stop character index&gt;”,
where start and stop indices correspond to text in the associated.txt file. “R” rows are of the form “R&lt;number&gt;
&lt;relation type&gt; Arg1: &lt;ID&gt;Arg2: &lt;ID&gt;”, where ID values correspond to identifiers of entities. Additionally,
for ease of annotation certain LCT relations are defined as arguments of Brat “events”, identified by “E”. “E” rows
are of the form “E&lt;number&gt; &lt;entity type&gt;: &lt;ID&gt; &lt;relation type&gt;: &lt;ID&gt;”.</t>
  </si>
  <si>
    <t>Web Scraping</t>
  </si>
  <si>
    <t>Collectors wher the authors, an intenral team, no demographics</t>
  </si>
  <si>
    <t>Yes, but no demographic pvoided</t>
  </si>
  <si>
    <t>We used eligibility criteria from https://clinicaltrials.gov as the basis for our corpus.
We extracted 1,020 randomly selected clinical trials eligibility descriptions, 20 for training and
inter-annotator comparison and 1,000 for post-training annotation.</t>
  </si>
  <si>
    <t xml:space="preserve">Annotation was performed by two annotators,
the first a biomedical informatician and the second a computer scientist. For initial annotation training, 20
documents were distributed to both annotators. Annotation was done in the following steps: </t>
  </si>
  <si>
    <t>Entity Annotation</t>
  </si>
  <si>
    <t>Two annotates, (the authors), biomedical informatician and a computer scientist</t>
  </si>
  <si>
    <t>BRAT annotation tool</t>
  </si>
  <si>
    <t>Not mention</t>
  </si>
  <si>
    <t>The initial step is extraction of
the comments from Facebook using the Comment Exporter tool. The entry point of the Comment Exporter tool is the Facebook post URL, while the output is an Excel ﬁle containing all the
comments from the given post. In addition, the Excel ﬁle is enriched with four other attributes
and metadata related to the Facebook post.
In the second step, ﬁve other attributes related to the Covid-19 statistics are added by reading the content of the Facebook post. The third step entails the merge of all Excel ﬁles for
each Facebook post into a single Excel ﬁle. Next the aggregated data set has been processed
by anonymizing and removing duplicates as well as profanity language. During the ﬁfth step,
three researchers have independently assessed the sentiment of the comments in the dataset.
Assessment has been done using three sentiment polarities: positive, negative, and neutral. The
ﬁnal sentiment of each comment is assigned using a majority voting scheme. This step ﬁnalized
our dataset as a CSV ﬁle.</t>
  </si>
  <si>
    <t>Web Scrapping , User Generated</t>
  </si>
  <si>
    <t>Yes, but no demographics is presented</t>
  </si>
  <si>
    <t>Facebook, noise tied to the social media networks</t>
  </si>
  <si>
    <t>Kosovo, during 2020</t>
  </si>
  <si>
    <t>Comments were in Albanian language and are retrieved using a tool called Comment Exporter1 . This work aims to identify and
extract the opinions and attitudes of Kosovo citizens expressed on Facebook about the Covid19 pandemics by manually annotating comments according to their sentiment, such as positive,
negative, and neutral.</t>
  </si>
  <si>
    <t>positive. Negative, neutral</t>
  </si>
  <si>
    <t>Text categorization, sentence classification</t>
  </si>
  <si>
    <t>Authors, internal team, no demogrphics</t>
  </si>
  <si>
    <t>Manually done by the authors</t>
  </si>
  <si>
    <t>Annotation Redundacy with Target Quality Assurance</t>
  </si>
  <si>
    <t>The dataset is anonymized</t>
  </si>
  <si>
    <t>No mentiond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</si>
</sst>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b/>
      <sz val="12"/>
      <color theme="1"/>
      <name val="Calibri"/>
      <family val="2"/>
      <scheme val="minor"/>
    </font>
    <font>
      <b/>
      <sz val="11"/>
      <color theme="1"/>
      <name val="Calibri"/>
      <family val="2"/>
      <scheme val="minor"/>
    </font>
    <font>
      <b/>
      <i/>
      <sz val="12"/>
      <color theme="1"/>
      <name val="Calibri"/>
      <family val="2"/>
      <scheme val="minor"/>
    </font>
    <font>
      <sz val="11"/>
      <color theme="1"/>
      <name val="Calibri"/>
      <family val="2"/>
      <scheme val="minor"/>
    </font>
    <font>
      <b/>
      <sz val="11"/>
      <color theme="1"/>
      <name val="Calibri"/>
      <family val="2"/>
    </font>
    <font>
      <b/>
      <sz val="16"/>
      <color theme="1"/>
      <name val="Calibri"/>
      <family val="2"/>
      <scheme val="minor"/>
    </font>
    <font>
      <b/>
      <sz val="18"/>
      <color theme="1"/>
      <name val="Calibri"/>
      <family val="2"/>
      <scheme val="minor"/>
    </font>
    <font>
      <b/>
      <i/>
      <sz val="18"/>
      <color theme="1"/>
      <name val="Calibri"/>
      <family val="2"/>
      <scheme val="minor"/>
    </font>
    <font>
      <b/>
      <sz val="11"/>
      <name val="Calibri"/>
      <family val="2"/>
    </font>
    <font>
      <sz val="11"/>
      <name val="Calibri"/>
      <family val="2"/>
    </font>
    <font>
      <u/>
      <sz val="11"/>
      <color theme="10"/>
      <name val="Calibri"/>
      <family val="2"/>
      <scheme val="minor"/>
    </font>
    <font>
      <b/>
      <sz val="11"/>
      <color theme="0"/>
      <name val="Calibri"/>
      <family val="2"/>
    </font>
    <font>
      <b/>
      <sz val="11"/>
      <color rgb="FFFFFFFF"/>
      <name val="Calibri"/>
      <family val="2"/>
      <scheme val="minor"/>
    </font>
    <font>
      <b/>
      <sz val="11"/>
      <name val="Calibri"/>
      <family val="2"/>
      <scheme val="minor"/>
    </font>
    <font>
      <sz val="11"/>
      <name val="Calibri"/>
      <family val="2"/>
      <scheme val="minor"/>
    </font>
    <font>
      <sz val="11"/>
      <color rgb="FF000000"/>
      <name val="Calibri"/>
      <family val="2"/>
      <scheme val="minor"/>
    </font>
    <font>
      <b/>
      <i/>
      <sz val="14"/>
      <color theme="1"/>
      <name val="Calibri"/>
      <family val="2"/>
      <scheme val="minor"/>
    </font>
    <font>
      <b/>
      <u/>
      <sz val="11"/>
      <color theme="10"/>
      <name val="Calibri"/>
      <family val="2"/>
      <scheme val="minor"/>
    </font>
    <font>
      <sz val="8"/>
      <name val="Calibri"/>
      <family val="2"/>
      <scheme val="minor"/>
    </font>
    <font>
      <b/>
      <i/>
      <sz val="16"/>
      <color theme="1"/>
      <name val="Calibri"/>
      <family val="2"/>
      <scheme val="minor"/>
    </font>
  </fonts>
  <fills count="34">
    <fill>
      <patternFill patternType="none"/>
    </fill>
    <fill>
      <patternFill patternType="gray125"/>
    </fill>
    <fill>
      <patternFill patternType="solid">
        <fgColor theme="5"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4D79B"/>
        <bgColor rgb="FF000000"/>
      </patternFill>
    </fill>
    <fill>
      <patternFill patternType="solid">
        <fgColor rgb="FFEBF1DE"/>
        <bgColor rgb="FF000000"/>
      </patternFill>
    </fill>
    <fill>
      <patternFill patternType="solid">
        <fgColor rgb="FFFDE9D9"/>
        <bgColor rgb="FF000000"/>
      </patternFill>
    </fill>
    <fill>
      <patternFill patternType="solid">
        <fgColor rgb="FFFABF8F"/>
        <bgColor rgb="FF000000"/>
      </patternFill>
    </fill>
    <fill>
      <patternFill patternType="solid">
        <fgColor rgb="FFFF0000"/>
        <bgColor rgb="FF000000"/>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4" tint="0.79998168889431442"/>
        <bgColor theme="4" tint="0.59999389629810485"/>
      </patternFill>
    </fill>
    <fill>
      <patternFill patternType="solid">
        <fgColor theme="0" tint="-0.249977111117893"/>
        <bgColor theme="4" tint="0.79998168889431442"/>
      </patternFill>
    </fill>
    <fill>
      <patternFill patternType="solid">
        <fgColor theme="4" tint="0.79998168889431442"/>
        <bgColor theme="4" tint="0.79998168889431442"/>
      </patternFill>
    </fill>
    <fill>
      <patternFill patternType="solid">
        <fgColor theme="0" tint="-0.249977111117893"/>
        <bgColor theme="4" tint="0.59999389629810485"/>
      </patternFill>
    </fill>
    <fill>
      <patternFill patternType="solid">
        <fgColor theme="3" tint="0.79998168889431442"/>
        <bgColor indexed="64"/>
      </patternFill>
    </fill>
    <fill>
      <patternFill patternType="solid">
        <fgColor theme="4" tint="0.59999389629810485"/>
        <bgColor theme="4" tint="0.59999389629810485"/>
      </patternFill>
    </fill>
    <fill>
      <patternFill patternType="solid">
        <fgColor rgb="FFFFC000"/>
        <bgColor indexed="64"/>
      </patternFill>
    </fill>
    <fill>
      <patternFill patternType="solid">
        <fgColor theme="3" tint="0.79998168889431442"/>
        <bgColor theme="4" tint="0.79998168889431442"/>
      </patternFill>
    </fill>
    <fill>
      <patternFill patternType="solid">
        <fgColor theme="4"/>
        <bgColor theme="4"/>
      </patternFill>
    </fill>
    <fill>
      <patternFill patternType="solid">
        <fgColor rgb="FF4F81BD"/>
        <bgColor rgb="FF4F81BD"/>
      </patternFill>
    </fill>
    <fill>
      <patternFill patternType="solid">
        <fgColor rgb="FFB8CCE4"/>
        <bgColor rgb="FFB8CCE4"/>
      </patternFill>
    </fill>
    <fill>
      <patternFill patternType="solid">
        <fgColor rgb="FFC5D9F1"/>
        <bgColor rgb="FF000000"/>
      </patternFill>
    </fill>
    <fill>
      <patternFill patternType="solid">
        <fgColor rgb="FFDCE6F1"/>
        <bgColor rgb="FFDCE6F1"/>
      </patternFill>
    </fill>
    <fill>
      <patternFill patternType="solid">
        <fgColor rgb="FFDCE6F1"/>
        <bgColor rgb="FF000000"/>
      </patternFill>
    </fill>
    <fill>
      <patternFill patternType="solid">
        <fgColor theme="0"/>
        <bgColor rgb="FF000000"/>
      </patternFill>
    </fill>
    <fill>
      <patternFill patternType="solid">
        <fgColor rgb="FFFFFFFF"/>
        <bgColor rgb="FF000000"/>
      </patternFill>
    </fill>
    <fill>
      <patternFill patternType="solid">
        <fgColor theme="0" tint="-4.9989318521683403E-2"/>
        <bgColor rgb="FF000000"/>
      </patternFill>
    </fill>
    <fill>
      <patternFill patternType="solid">
        <fgColor theme="2"/>
        <bgColor indexed="64"/>
      </patternFill>
    </fill>
    <fill>
      <patternFill patternType="solid">
        <fgColor theme="0" tint="-0.14999847407452621"/>
        <bgColor indexed="64"/>
      </patternFill>
    </fill>
    <fill>
      <patternFill patternType="solid">
        <fgColor theme="5" tint="0.39997558519241921"/>
        <bgColor indexed="64"/>
      </patternFill>
    </fill>
  </fills>
  <borders count="60">
    <border>
      <left/>
      <right/>
      <top/>
      <bottom/>
      <diagonal/>
    </border>
    <border>
      <left style="thin">
        <color theme="1"/>
      </left>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top style="thin">
        <color theme="1"/>
      </top>
      <bottom style="thin">
        <color theme="1"/>
      </bottom>
      <diagonal/>
    </border>
    <border>
      <left/>
      <right/>
      <top style="thin">
        <color theme="1"/>
      </top>
      <bottom style="thin">
        <color theme="1"/>
      </bottom>
      <diagonal/>
    </border>
    <border>
      <left style="thin">
        <color theme="1"/>
      </left>
      <right style="thin">
        <color theme="1"/>
      </right>
      <top/>
      <bottom style="thin">
        <color theme="1"/>
      </bottom>
      <diagonal/>
    </border>
    <border>
      <left style="thin">
        <color theme="0"/>
      </left>
      <right/>
      <top style="thin">
        <color theme="0"/>
      </top>
      <bottom style="thin">
        <color theme="1"/>
      </bottom>
      <diagonal/>
    </border>
    <border>
      <left/>
      <right style="thin">
        <color auto="1"/>
      </right>
      <top style="thin">
        <color auto="1"/>
      </top>
      <bottom style="thin">
        <color theme="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theme="0"/>
      </left>
      <right/>
      <top style="thin">
        <color theme="0"/>
      </top>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0"/>
      </top>
      <bottom/>
      <diagonal/>
    </border>
    <border>
      <left style="thin">
        <color theme="0"/>
      </left>
      <right/>
      <top style="thick">
        <color theme="0"/>
      </top>
      <bottom/>
      <diagonal/>
    </border>
    <border>
      <left style="thin">
        <color auto="1"/>
      </left>
      <right style="thin">
        <color auto="1"/>
      </right>
      <top style="thin">
        <color auto="1"/>
      </top>
      <bottom/>
      <diagonal/>
    </border>
    <border>
      <left style="thin">
        <color auto="1"/>
      </left>
      <right/>
      <top/>
      <bottom/>
      <diagonal/>
    </border>
    <border>
      <left style="thin">
        <color auto="1"/>
      </left>
      <right/>
      <top style="thin">
        <color auto="1"/>
      </top>
      <bottom/>
      <diagonal/>
    </border>
    <border>
      <left/>
      <right style="thin">
        <color indexed="64"/>
      </right>
      <top/>
      <bottom style="thin">
        <color indexed="64"/>
      </bottom>
      <diagonal/>
    </border>
    <border>
      <left style="thin">
        <color indexed="64"/>
      </left>
      <right style="thin">
        <color indexed="64"/>
      </right>
      <top/>
      <bottom style="thin">
        <color rgb="FFFFFFFF"/>
      </bottom>
      <diagonal/>
    </border>
    <border>
      <left style="thin">
        <color indexed="64"/>
      </left>
      <right style="thin">
        <color indexed="64"/>
      </right>
      <top style="thin">
        <color rgb="FFFFFFFF"/>
      </top>
      <bottom/>
      <diagonal/>
    </border>
    <border>
      <left style="thin">
        <color theme="0"/>
      </left>
      <right style="thin">
        <color theme="0"/>
      </right>
      <top style="thin">
        <color theme="0"/>
      </top>
      <bottom style="thin">
        <color theme="0"/>
      </bottom>
      <diagonal/>
    </border>
    <border>
      <left/>
      <right/>
      <top style="thin">
        <color indexed="64"/>
      </top>
      <bottom style="thin">
        <color indexed="64"/>
      </bottom>
      <diagonal/>
    </border>
    <border>
      <left style="thin">
        <color auto="1"/>
      </left>
      <right/>
      <top style="thin">
        <color theme="1"/>
      </top>
      <bottom/>
      <diagonal/>
    </border>
    <border>
      <left style="thin">
        <color theme="1"/>
      </left>
      <right style="thin">
        <color auto="1"/>
      </right>
      <top style="thin">
        <color auto="1"/>
      </top>
      <bottom/>
      <diagonal/>
    </border>
    <border>
      <left style="thin">
        <color theme="1"/>
      </left>
      <right style="thin">
        <color auto="1"/>
      </right>
      <top/>
      <bottom/>
      <diagonal/>
    </border>
    <border>
      <left style="thin">
        <color theme="1"/>
      </left>
      <right style="thin">
        <color auto="1"/>
      </right>
      <top style="thin">
        <color theme="0"/>
      </top>
      <bottom/>
      <diagonal/>
    </border>
    <border>
      <left style="thin">
        <color theme="1"/>
      </left>
      <right style="thin">
        <color auto="1"/>
      </right>
      <top/>
      <bottom style="thin">
        <color theme="1"/>
      </bottom>
      <diagonal/>
    </border>
    <border>
      <left style="thin">
        <color auto="1"/>
      </left>
      <right style="thin">
        <color auto="1"/>
      </right>
      <top style="thin">
        <color auto="1"/>
      </top>
      <bottom style="thin">
        <color theme="1"/>
      </bottom>
      <diagonal/>
    </border>
    <border>
      <left style="thin">
        <color auto="1"/>
      </left>
      <right/>
      <top style="thin">
        <color auto="1"/>
      </top>
      <bottom style="thin">
        <color theme="1"/>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style="medium">
        <color theme="1"/>
      </left>
      <right/>
      <top style="medium">
        <color theme="1"/>
      </top>
      <bottom style="thin">
        <color theme="1"/>
      </bottom>
      <diagonal/>
    </border>
    <border>
      <left style="medium">
        <color theme="1"/>
      </left>
      <right/>
      <top style="thin">
        <color theme="1"/>
      </top>
      <bottom style="thin">
        <color theme="1"/>
      </bottom>
      <diagonal/>
    </border>
    <border>
      <left style="medium">
        <color theme="1"/>
      </left>
      <right/>
      <top style="thin">
        <color theme="1"/>
      </top>
      <bottom style="medium">
        <color theme="1"/>
      </bottom>
      <diagonal/>
    </border>
    <border>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medium">
        <color theme="1"/>
      </left>
      <right style="thin">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thin">
        <color theme="1"/>
      </right>
      <top style="medium">
        <color theme="1"/>
      </top>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thin">
        <color theme="1"/>
      </right>
      <top/>
      <bottom/>
      <diagonal/>
    </border>
    <border>
      <left style="medium">
        <color theme="1"/>
      </left>
      <right style="thin">
        <color theme="1"/>
      </right>
      <top style="thin">
        <color theme="1"/>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3">
    <xf numFmtId="0" fontId="0" fillId="0" borderId="0"/>
    <xf numFmtId="0" fontId="4" fillId="0" borderId="0"/>
    <xf numFmtId="0" fontId="11" fillId="0" borderId="0" applyNumberFormat="0" applyFill="0" applyBorder="0" applyAlignment="0" applyProtection="0"/>
  </cellStyleXfs>
  <cellXfs count="200">
    <xf numFmtId="0" fontId="0" fillId="0" borderId="0" xfId="0"/>
    <xf numFmtId="0" fontId="0" fillId="0" borderId="0" xfId="0" applyAlignment="1">
      <alignment wrapText="1"/>
    </xf>
    <xf numFmtId="10" fontId="0" fillId="0" borderId="5" xfId="0" applyNumberFormat="1" applyBorder="1"/>
    <xf numFmtId="0" fontId="5" fillId="5" borderId="5" xfId="0" applyFont="1" applyFill="1" applyBorder="1" applyAlignment="1">
      <alignment horizontal="center" vertical="center"/>
    </xf>
    <xf numFmtId="0" fontId="5" fillId="6" borderId="5" xfId="0" applyFont="1" applyFill="1" applyBorder="1" applyAlignment="1">
      <alignment horizontal="center" vertical="center"/>
    </xf>
    <xf numFmtId="0" fontId="5" fillId="7" borderId="5" xfId="0" applyFont="1" applyFill="1" applyBorder="1" applyAlignment="1">
      <alignment horizontal="center" vertical="center"/>
    </xf>
    <xf numFmtId="0" fontId="5" fillId="8" borderId="5" xfId="0" applyFont="1" applyFill="1" applyBorder="1" applyAlignment="1">
      <alignment horizontal="center" vertical="center"/>
    </xf>
    <xf numFmtId="0" fontId="5" fillId="9" borderId="5" xfId="0" applyFont="1" applyFill="1" applyBorder="1" applyAlignment="1">
      <alignment horizontal="center" vertical="center"/>
    </xf>
    <xf numFmtId="0" fontId="1" fillId="10" borderId="5" xfId="0" applyFont="1" applyFill="1" applyBorder="1" applyAlignment="1">
      <alignment horizontal="center"/>
    </xf>
    <xf numFmtId="10" fontId="0" fillId="0" borderId="5" xfId="0" applyNumberFormat="1" applyBorder="1" applyAlignment="1">
      <alignment horizontal="center" vertical="center"/>
    </xf>
    <xf numFmtId="10" fontId="1" fillId="4" borderId="5" xfId="0" applyNumberFormat="1" applyFont="1" applyFill="1" applyBorder="1" applyAlignment="1">
      <alignment horizontal="center" vertical="center"/>
    </xf>
    <xf numFmtId="0" fontId="3" fillId="0" borderId="5" xfId="0" applyFont="1" applyBorder="1" applyAlignment="1">
      <alignment horizontal="center" vertical="center"/>
    </xf>
    <xf numFmtId="0" fontId="0" fillId="0" borderId="0" xfId="0" applyAlignment="1">
      <alignment horizontal="center" vertical="center"/>
    </xf>
    <xf numFmtId="0" fontId="1" fillId="0" borderId="5" xfId="0" applyFont="1" applyBorder="1" applyAlignment="1">
      <alignment horizontal="center" vertical="center"/>
    </xf>
    <xf numFmtId="0" fontId="0" fillId="0" borderId="5" xfId="0" applyBorder="1" applyAlignment="1">
      <alignment wrapText="1"/>
    </xf>
    <xf numFmtId="0" fontId="0" fillId="0" borderId="5" xfId="0" applyBorder="1" applyAlignment="1">
      <alignment horizontal="center" wrapText="1"/>
    </xf>
    <xf numFmtId="0" fontId="1" fillId="0" borderId="5" xfId="0" applyFont="1" applyBorder="1"/>
    <xf numFmtId="0" fontId="4" fillId="0" borderId="0" xfId="1"/>
    <xf numFmtId="0" fontId="4" fillId="0" borderId="0" xfId="1" applyAlignment="1">
      <alignment vertical="center" wrapText="1"/>
    </xf>
    <xf numFmtId="0" fontId="4" fillId="0" borderId="0" xfId="1" applyAlignment="1">
      <alignment wrapText="1"/>
    </xf>
    <xf numFmtId="0" fontId="4" fillId="0" borderId="5" xfId="1" applyBorder="1" applyAlignment="1">
      <alignment wrapText="1"/>
    </xf>
    <xf numFmtId="0" fontId="4" fillId="15" borderId="15" xfId="1" applyFill="1" applyBorder="1"/>
    <xf numFmtId="0" fontId="4" fillId="14" borderId="16" xfId="1" applyFill="1" applyBorder="1" applyAlignment="1">
      <alignment wrapText="1"/>
    </xf>
    <xf numFmtId="0" fontId="4" fillId="12" borderId="17" xfId="1" applyFill="1" applyBorder="1" applyAlignment="1">
      <alignment vertical="center" wrapText="1"/>
    </xf>
    <xf numFmtId="0" fontId="4" fillId="12" borderId="18" xfId="1" applyFill="1" applyBorder="1" applyAlignment="1">
      <alignment vertical="center" wrapText="1"/>
    </xf>
    <xf numFmtId="0" fontId="4" fillId="15" borderId="20" xfId="1" applyFill="1" applyBorder="1" applyAlignment="1">
      <alignment wrapText="1"/>
    </xf>
    <xf numFmtId="0" fontId="4" fillId="14" borderId="21" xfId="1" applyFill="1" applyBorder="1"/>
    <xf numFmtId="0" fontId="4" fillId="12" borderId="18" xfId="1" applyFill="1" applyBorder="1" applyAlignment="1">
      <alignment horizontal="center" vertical="center" wrapText="1"/>
    </xf>
    <xf numFmtId="0" fontId="4" fillId="17" borderId="20" xfId="1" applyFill="1" applyBorder="1"/>
    <xf numFmtId="0" fontId="4" fillId="10" borderId="5" xfId="1" applyFill="1" applyBorder="1" applyAlignment="1">
      <alignment wrapText="1"/>
    </xf>
    <xf numFmtId="0" fontId="4" fillId="18" borderId="17" xfId="1" applyFill="1" applyBorder="1" applyAlignment="1">
      <alignment vertical="center" wrapText="1"/>
    </xf>
    <xf numFmtId="0" fontId="4" fillId="18" borderId="18" xfId="1" applyFill="1" applyBorder="1" applyAlignment="1">
      <alignment vertical="center" wrapText="1"/>
    </xf>
    <xf numFmtId="0" fontId="4" fillId="15" borderId="20" xfId="1" applyFill="1" applyBorder="1"/>
    <xf numFmtId="0" fontId="4" fillId="14" borderId="21" xfId="1" applyFill="1" applyBorder="1" applyAlignment="1">
      <alignment wrapText="1"/>
    </xf>
    <xf numFmtId="0" fontId="4" fillId="20" borderId="5" xfId="1" applyFill="1" applyBorder="1" applyAlignment="1">
      <alignment wrapText="1"/>
    </xf>
    <xf numFmtId="0" fontId="4" fillId="21" borderId="21" xfId="1" applyFill="1" applyBorder="1"/>
    <xf numFmtId="0" fontId="11" fillId="21" borderId="21" xfId="2" applyFill="1" applyBorder="1" applyAlignment="1">
      <alignment wrapText="1"/>
    </xf>
    <xf numFmtId="0" fontId="4" fillId="16" borderId="21" xfId="1" applyFill="1" applyBorder="1"/>
    <xf numFmtId="0" fontId="4" fillId="18" borderId="18" xfId="1" applyFill="1" applyBorder="1" applyAlignment="1">
      <alignment horizontal="center" vertical="center" wrapText="1"/>
    </xf>
    <xf numFmtId="0" fontId="4" fillId="19" borderId="21" xfId="1" applyFill="1" applyBorder="1"/>
    <xf numFmtId="0" fontId="4" fillId="19" borderId="21" xfId="1" applyFill="1" applyBorder="1" applyAlignment="1">
      <alignment wrapText="1"/>
    </xf>
    <xf numFmtId="0" fontId="4" fillId="17" borderId="24" xfId="1" applyFill="1" applyBorder="1"/>
    <xf numFmtId="0" fontId="12" fillId="22" borderId="26" xfId="1" applyFont="1" applyFill="1" applyBorder="1" applyAlignment="1">
      <alignment horizontal="center" vertical="center" wrapText="1"/>
    </xf>
    <xf numFmtId="0" fontId="12" fillId="22" borderId="5" xfId="1" applyFont="1" applyFill="1" applyBorder="1" applyAlignment="1">
      <alignment horizontal="center" vertical="top" wrapText="1"/>
    </xf>
    <xf numFmtId="0" fontId="12" fillId="22" borderId="27" xfId="1" applyFont="1" applyFill="1" applyBorder="1" applyAlignment="1">
      <alignment horizontal="center" vertical="center" wrapText="1"/>
    </xf>
    <xf numFmtId="0" fontId="13" fillId="23" borderId="27" xfId="1" applyFont="1" applyFill="1" applyBorder="1" applyAlignment="1">
      <alignment horizontal="center" vertical="center" wrapText="1"/>
    </xf>
    <xf numFmtId="0" fontId="13" fillId="23" borderId="26" xfId="1" applyFont="1" applyFill="1" applyBorder="1" applyAlignment="1">
      <alignment horizontal="center" vertical="center" wrapText="1"/>
    </xf>
    <xf numFmtId="0" fontId="16" fillId="0" borderId="0" xfId="1" applyFont="1" applyAlignment="1">
      <alignment wrapText="1"/>
    </xf>
    <xf numFmtId="0" fontId="16" fillId="25" borderId="28" xfId="1" applyFont="1" applyFill="1" applyBorder="1" applyAlignment="1">
      <alignment horizontal="center" vertical="center" wrapText="1"/>
    </xf>
    <xf numFmtId="0" fontId="16" fillId="25" borderId="28" xfId="1" applyFont="1" applyFill="1" applyBorder="1" applyAlignment="1">
      <alignment vertical="center" wrapText="1"/>
    </xf>
    <xf numFmtId="0" fontId="16" fillId="27" borderId="28" xfId="1" applyFont="1" applyFill="1" applyBorder="1" applyAlignment="1">
      <alignment horizontal="center" vertical="center" wrapText="1"/>
    </xf>
    <xf numFmtId="0" fontId="16" fillId="27" borderId="28" xfId="1" applyFont="1" applyFill="1" applyBorder="1" applyAlignment="1">
      <alignment vertical="center" wrapText="1"/>
    </xf>
    <xf numFmtId="0" fontId="4" fillId="17" borderId="0" xfId="1" applyFill="1"/>
    <xf numFmtId="0" fontId="16" fillId="28" borderId="0" xfId="1" applyFont="1" applyFill="1" applyAlignment="1">
      <alignment wrapText="1"/>
    </xf>
    <xf numFmtId="0" fontId="16" fillId="29" borderId="0" xfId="1" applyFont="1" applyFill="1" applyAlignment="1">
      <alignment wrapText="1"/>
    </xf>
    <xf numFmtId="0" fontId="16" fillId="27" borderId="31" xfId="1" applyFont="1" applyFill="1" applyBorder="1" applyAlignment="1">
      <alignment horizontal="center" vertical="center" wrapText="1"/>
    </xf>
    <xf numFmtId="0" fontId="16" fillId="25" borderId="18" xfId="1" applyFont="1" applyFill="1" applyBorder="1" applyAlignment="1">
      <alignment horizontal="center" vertical="center" wrapText="1"/>
    </xf>
    <xf numFmtId="0" fontId="16" fillId="25" borderId="32" xfId="1" applyFont="1" applyFill="1" applyBorder="1" applyAlignment="1">
      <alignment vertical="center" wrapText="1"/>
    </xf>
    <xf numFmtId="0" fontId="4" fillId="0" borderId="0" xfId="1" applyAlignment="1">
      <alignment horizontal="center" vertical="center" wrapText="1"/>
    </xf>
    <xf numFmtId="0" fontId="12" fillId="22" borderId="6" xfId="1" applyFont="1" applyFill="1" applyBorder="1" applyAlignment="1">
      <alignment horizontal="center" vertical="center" wrapText="1"/>
    </xf>
    <xf numFmtId="0" fontId="12" fillId="22" borderId="33" xfId="1" applyFont="1" applyFill="1" applyBorder="1" applyAlignment="1">
      <alignment horizontal="center" vertical="center" wrapText="1"/>
    </xf>
    <xf numFmtId="0" fontId="4" fillId="0" borderId="5" xfId="1" applyBorder="1" applyAlignment="1">
      <alignment vertical="top" wrapText="1"/>
    </xf>
    <xf numFmtId="0" fontId="4" fillId="20" borderId="5" xfId="1" applyFill="1" applyBorder="1" applyAlignment="1">
      <alignment vertical="top" wrapText="1"/>
    </xf>
    <xf numFmtId="0" fontId="4" fillId="10" borderId="5" xfId="1" applyFill="1" applyBorder="1" applyAlignment="1">
      <alignment vertical="top" wrapText="1"/>
    </xf>
    <xf numFmtId="0" fontId="4" fillId="12" borderId="38" xfId="1" applyFill="1" applyBorder="1" applyAlignment="1">
      <alignment horizontal="center" vertical="center" wrapText="1"/>
    </xf>
    <xf numFmtId="0" fontId="4" fillId="12" borderId="39" xfId="1" applyFill="1" applyBorder="1" applyAlignment="1">
      <alignment vertical="center" wrapText="1"/>
    </xf>
    <xf numFmtId="0" fontId="4" fillId="0" borderId="0" xfId="1" applyAlignment="1">
      <alignment vertical="top"/>
    </xf>
    <xf numFmtId="10" fontId="1" fillId="0" borderId="0" xfId="0" applyNumberFormat="1" applyFont="1"/>
    <xf numFmtId="10" fontId="0" fillId="0" borderId="9" xfId="0" applyNumberFormat="1" applyBorder="1" applyAlignment="1">
      <alignment horizontal="center" vertical="center"/>
    </xf>
    <xf numFmtId="0" fontId="3" fillId="13" borderId="10" xfId="0" applyFont="1" applyFill="1" applyBorder="1" applyAlignment="1">
      <alignment horizontal="center" vertical="center" wrapText="1"/>
    </xf>
    <xf numFmtId="0" fontId="0" fillId="0" borderId="40" xfId="0" applyBorder="1" applyAlignment="1">
      <alignment horizontal="center" wrapText="1"/>
    </xf>
    <xf numFmtId="0" fontId="0" fillId="0" borderId="41" xfId="0" applyBorder="1" applyAlignment="1">
      <alignment horizontal="center" wrapText="1"/>
    </xf>
    <xf numFmtId="0" fontId="0" fillId="0" borderId="42" xfId="0" applyBorder="1" applyAlignment="1">
      <alignment horizontal="center" wrapText="1"/>
    </xf>
    <xf numFmtId="10" fontId="3" fillId="13" borderId="10" xfId="0" applyNumberFormat="1" applyFont="1" applyFill="1" applyBorder="1" applyAlignment="1">
      <alignment horizontal="center" vertical="center"/>
    </xf>
    <xf numFmtId="0" fontId="3" fillId="13" borderId="10" xfId="0" applyFont="1" applyFill="1" applyBorder="1"/>
    <xf numFmtId="0" fontId="1" fillId="13" borderId="10" xfId="0" applyFont="1" applyFill="1" applyBorder="1" applyAlignment="1">
      <alignment horizontal="center" vertical="center"/>
    </xf>
    <xf numFmtId="0" fontId="1" fillId="13" borderId="10" xfId="0" applyFont="1" applyFill="1" applyBorder="1"/>
    <xf numFmtId="0" fontId="1" fillId="13" borderId="10" xfId="0" applyFont="1" applyFill="1" applyBorder="1" applyAlignment="1">
      <alignment horizontal="center"/>
    </xf>
    <xf numFmtId="10" fontId="0" fillId="0" borderId="46" xfId="0" applyNumberFormat="1" applyBorder="1" applyAlignment="1">
      <alignment horizontal="center" vertical="center"/>
    </xf>
    <xf numFmtId="10" fontId="0" fillId="0" borderId="47" xfId="0" applyNumberFormat="1" applyBorder="1"/>
    <xf numFmtId="10" fontId="0" fillId="0" borderId="48" xfId="0" applyNumberFormat="1" applyBorder="1" applyAlignment="1">
      <alignment horizontal="center" vertical="center"/>
    </xf>
    <xf numFmtId="10" fontId="0" fillId="0" borderId="49" xfId="0" applyNumberFormat="1" applyBorder="1"/>
    <xf numFmtId="0" fontId="0" fillId="0" borderId="47" xfId="0" applyBorder="1" applyAlignment="1">
      <alignment horizontal="center" wrapText="1"/>
    </xf>
    <xf numFmtId="10" fontId="0" fillId="0" borderId="47" xfId="0" applyNumberFormat="1" applyBorder="1" applyAlignment="1">
      <alignment horizontal="center" vertical="center"/>
    </xf>
    <xf numFmtId="0" fontId="0" fillId="0" borderId="49" xfId="0" applyBorder="1" applyAlignment="1">
      <alignment horizontal="center" wrapText="1"/>
    </xf>
    <xf numFmtId="10" fontId="0" fillId="0" borderId="49" xfId="0" applyNumberFormat="1" applyBorder="1" applyAlignment="1">
      <alignment horizontal="center" vertical="center"/>
    </xf>
    <xf numFmtId="10" fontId="0" fillId="0" borderId="49" xfId="0" applyNumberFormat="1" applyBorder="1" applyAlignment="1">
      <alignment vertical="center"/>
    </xf>
    <xf numFmtId="0" fontId="4" fillId="21" borderId="21" xfId="1" applyFill="1" applyBorder="1" applyAlignment="1">
      <alignment wrapText="1"/>
    </xf>
    <xf numFmtId="0" fontId="12" fillId="22" borderId="26" xfId="0" applyFont="1" applyFill="1" applyBorder="1" applyAlignment="1">
      <alignment horizontal="center" vertical="center" wrapText="1"/>
    </xf>
    <xf numFmtId="0" fontId="0" fillId="10" borderId="5" xfId="0" applyFill="1" applyBorder="1" applyAlignment="1">
      <alignment wrapText="1"/>
    </xf>
    <xf numFmtId="0" fontId="1" fillId="0" borderId="0" xfId="0" applyFont="1" applyAlignment="1">
      <alignment horizontal="center" vertical="center" wrapText="1"/>
    </xf>
    <xf numFmtId="0" fontId="11" fillId="0" borderId="0" xfId="2"/>
    <xf numFmtId="0" fontId="18" fillId="0" borderId="0" xfId="2" applyFont="1" applyAlignment="1">
      <alignment vertical="center"/>
    </xf>
    <xf numFmtId="0" fontId="11" fillId="0" borderId="0" xfId="2" applyAlignment="1">
      <alignment wrapText="1"/>
    </xf>
    <xf numFmtId="0" fontId="0" fillId="0" borderId="0" xfId="0" applyAlignment="1">
      <alignment vertical="center" wrapText="1"/>
    </xf>
    <xf numFmtId="0" fontId="0" fillId="0" borderId="0" xfId="0" applyAlignment="1">
      <alignment vertical="center"/>
    </xf>
    <xf numFmtId="0" fontId="17" fillId="12" borderId="0" xfId="0" applyFont="1" applyFill="1" applyAlignment="1">
      <alignment vertical="center" wrapText="1"/>
    </xf>
    <xf numFmtId="0" fontId="18" fillId="32" borderId="0" xfId="2" applyFont="1" applyFill="1"/>
    <xf numFmtId="0" fontId="1" fillId="0" borderId="0" xfId="0" applyFont="1" applyAlignment="1">
      <alignment horizontal="center"/>
    </xf>
    <xf numFmtId="0" fontId="18" fillId="32" borderId="0" xfId="2" applyFont="1" applyFill="1" applyAlignment="1">
      <alignment horizontal="center" vertical="center"/>
    </xf>
    <xf numFmtId="0" fontId="18" fillId="32" borderId="0" xfId="2" applyFont="1" applyFill="1" applyAlignment="1">
      <alignment horizontal="center"/>
    </xf>
    <xf numFmtId="0" fontId="1" fillId="0" borderId="0" xfId="0" applyFont="1" applyAlignment="1">
      <alignment horizontal="center" wrapText="1"/>
    </xf>
    <xf numFmtId="0" fontId="18" fillId="32" borderId="0" xfId="2" applyFont="1" applyFill="1" applyAlignment="1">
      <alignment horizontal="center" wrapText="1"/>
    </xf>
    <xf numFmtId="0" fontId="0" fillId="0" borderId="1" xfId="0" applyBorder="1" applyAlignment="1">
      <alignment wrapText="1"/>
    </xf>
    <xf numFmtId="0" fontId="0" fillId="0" borderId="56" xfId="0" applyBorder="1" applyAlignment="1">
      <alignment wrapText="1"/>
    </xf>
    <xf numFmtId="0" fontId="11" fillId="0" borderId="56" xfId="2" applyBorder="1" applyAlignment="1">
      <alignment wrapText="1"/>
    </xf>
    <xf numFmtId="0" fontId="0" fillId="0" borderId="2" xfId="0" applyBorder="1" applyAlignment="1">
      <alignment wrapText="1"/>
    </xf>
    <xf numFmtId="0" fontId="0" fillId="0" borderId="3" xfId="0" applyBorder="1" applyAlignment="1">
      <alignment wrapText="1"/>
    </xf>
    <xf numFmtId="0" fontId="11" fillId="0" borderId="4" xfId="2" applyBorder="1" applyAlignment="1">
      <alignment wrapText="1"/>
    </xf>
    <xf numFmtId="0" fontId="20" fillId="31" borderId="6" xfId="0" applyFont="1" applyFill="1" applyBorder="1" applyAlignment="1">
      <alignment horizontal="center" vertical="center"/>
    </xf>
    <xf numFmtId="0" fontId="20" fillId="31" borderId="7" xfId="0" applyFont="1" applyFill="1" applyBorder="1" applyAlignment="1">
      <alignment horizontal="center" vertical="center"/>
    </xf>
    <xf numFmtId="0" fontId="20" fillId="31" borderId="8" xfId="0" applyFont="1" applyFill="1" applyBorder="1" applyAlignment="1">
      <alignment horizontal="center" vertical="center"/>
    </xf>
    <xf numFmtId="0" fontId="17" fillId="12" borderId="6" xfId="0" applyFont="1" applyFill="1" applyBorder="1" applyAlignment="1">
      <alignment horizontal="center" vertical="center" wrapText="1"/>
    </xf>
    <xf numFmtId="0" fontId="17" fillId="12" borderId="7" xfId="0" applyFont="1" applyFill="1" applyBorder="1" applyAlignment="1">
      <alignment horizontal="center" vertical="center" wrapText="1"/>
    </xf>
    <xf numFmtId="0" fontId="17" fillId="12" borderId="8" xfId="0" applyFont="1" applyFill="1" applyBorder="1" applyAlignment="1">
      <alignment horizontal="center" vertical="center" wrapText="1"/>
    </xf>
    <xf numFmtId="0" fontId="0" fillId="0" borderId="0" xfId="0" applyAlignment="1">
      <alignment horizontal="left" vertical="center" wrapText="1"/>
    </xf>
    <xf numFmtId="0" fontId="0" fillId="0" borderId="56" xfId="0" applyBorder="1" applyAlignment="1">
      <alignment horizontal="left" vertical="center" wrapText="1"/>
    </xf>
    <xf numFmtId="0" fontId="0" fillId="0" borderId="0" xfId="0" applyAlignment="1">
      <alignment horizontal="left" vertical="center"/>
    </xf>
    <xf numFmtId="0" fontId="0" fillId="0" borderId="56" xfId="0" applyBorder="1" applyAlignment="1">
      <alignment horizontal="left" vertical="center"/>
    </xf>
    <xf numFmtId="0" fontId="0" fillId="0" borderId="3" xfId="0" applyBorder="1" applyAlignment="1">
      <alignment horizontal="left" vertical="center" wrapText="1"/>
    </xf>
    <xf numFmtId="0" fontId="0" fillId="0" borderId="4" xfId="0" applyBorder="1" applyAlignment="1">
      <alignment horizontal="left" vertical="center" wrapText="1"/>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5" fillId="30" borderId="50" xfId="0" applyFont="1" applyFill="1" applyBorder="1" applyAlignment="1">
      <alignment horizontal="center" vertical="center" wrapText="1"/>
    </xf>
    <xf numFmtId="0" fontId="5" fillId="30" borderId="51" xfId="0" applyFont="1" applyFill="1" applyBorder="1" applyAlignment="1">
      <alignment horizontal="center" vertical="center" wrapText="1"/>
    </xf>
    <xf numFmtId="0" fontId="5" fillId="30" borderId="52" xfId="0" applyFont="1" applyFill="1" applyBorder="1" applyAlignment="1">
      <alignment horizontal="center" vertical="center" wrapText="1"/>
    </xf>
    <xf numFmtId="10" fontId="0" fillId="13" borderId="47" xfId="0" applyNumberFormat="1" applyFill="1" applyBorder="1" applyAlignment="1">
      <alignment horizontal="center" vertical="center"/>
    </xf>
    <xf numFmtId="0" fontId="0" fillId="13" borderId="5" xfId="0" applyFill="1" applyBorder="1" applyAlignment="1">
      <alignment horizontal="center" vertical="center"/>
    </xf>
    <xf numFmtId="0" fontId="0" fillId="13" borderId="49" xfId="0" applyFill="1" applyBorder="1" applyAlignment="1">
      <alignment horizontal="center" vertical="center"/>
    </xf>
    <xf numFmtId="0" fontId="5" fillId="30" borderId="43" xfId="0" applyFont="1" applyFill="1" applyBorder="1" applyAlignment="1">
      <alignment horizontal="center" vertical="center" wrapText="1"/>
    </xf>
    <xf numFmtId="0" fontId="5" fillId="30" borderId="44" xfId="0" applyFont="1" applyFill="1" applyBorder="1" applyAlignment="1">
      <alignment horizontal="center" vertical="center" wrapText="1"/>
    </xf>
    <xf numFmtId="0" fontId="5" fillId="30" borderId="45" xfId="0" applyFont="1" applyFill="1" applyBorder="1" applyAlignment="1">
      <alignment horizontal="center" vertical="center" wrapText="1"/>
    </xf>
    <xf numFmtId="0" fontId="6" fillId="12" borderId="54" xfId="0" applyFont="1" applyFill="1" applyBorder="1" applyAlignment="1">
      <alignment horizontal="center" vertical="center"/>
    </xf>
    <xf numFmtId="0" fontId="6" fillId="12" borderId="55" xfId="0" applyFont="1" applyFill="1" applyBorder="1" applyAlignment="1">
      <alignment horizontal="center" vertical="center"/>
    </xf>
    <xf numFmtId="0" fontId="1" fillId="13" borderId="14" xfId="0" applyFont="1" applyFill="1" applyBorder="1" applyAlignment="1">
      <alignment horizontal="center"/>
    </xf>
    <xf numFmtId="10" fontId="0" fillId="13" borderId="53" xfId="0" applyNumberFormat="1" applyFill="1" applyBorder="1" applyAlignment="1">
      <alignment horizontal="center" vertical="center"/>
    </xf>
    <xf numFmtId="0" fontId="0" fillId="13" borderId="11" xfId="0" applyFill="1" applyBorder="1" applyAlignment="1">
      <alignment horizontal="center" vertical="center"/>
    </xf>
    <xf numFmtId="0" fontId="6" fillId="2" borderId="5" xfId="0" applyFont="1" applyFill="1" applyBorder="1" applyAlignment="1">
      <alignment horizontal="center" wrapText="1"/>
    </xf>
    <xf numFmtId="0" fontId="5" fillId="5" borderId="10" xfId="0" applyFont="1" applyFill="1" applyBorder="1" applyAlignment="1">
      <alignment horizontal="center" vertical="center" wrapText="1"/>
    </xf>
    <xf numFmtId="0" fontId="5" fillId="5" borderId="11" xfId="0" applyFont="1" applyFill="1" applyBorder="1" applyAlignment="1">
      <alignment horizontal="center" vertical="center" wrapText="1"/>
    </xf>
    <xf numFmtId="0" fontId="5" fillId="5" borderId="14" xfId="0" applyFont="1" applyFill="1" applyBorder="1" applyAlignment="1">
      <alignment horizontal="center" vertical="center" wrapText="1"/>
    </xf>
    <xf numFmtId="10" fontId="1" fillId="3" borderId="10" xfId="0" applyNumberFormat="1" applyFont="1" applyFill="1" applyBorder="1" applyAlignment="1">
      <alignment horizontal="center" vertical="center"/>
    </xf>
    <xf numFmtId="10" fontId="1" fillId="3" borderId="14" xfId="0" applyNumberFormat="1" applyFont="1" applyFill="1" applyBorder="1" applyAlignment="1">
      <alignment horizontal="center" vertical="center"/>
    </xf>
    <xf numFmtId="10" fontId="1" fillId="11" borderId="10" xfId="0" applyNumberFormat="1" applyFont="1" applyFill="1" applyBorder="1" applyAlignment="1">
      <alignment horizontal="center" vertical="center"/>
    </xf>
    <xf numFmtId="10" fontId="1" fillId="11" borderId="14" xfId="0" applyNumberFormat="1" applyFont="1" applyFill="1" applyBorder="1" applyAlignment="1">
      <alignment horizontal="center" vertical="center"/>
    </xf>
    <xf numFmtId="0" fontId="6" fillId="2" borderId="12" xfId="0" applyFont="1" applyFill="1" applyBorder="1" applyAlignment="1">
      <alignment horizontal="center" wrapText="1"/>
    </xf>
    <xf numFmtId="0" fontId="6" fillId="2" borderId="13" xfId="0" applyFont="1" applyFill="1" applyBorder="1" applyAlignment="1">
      <alignment horizontal="center" wrapText="1"/>
    </xf>
    <xf numFmtId="0" fontId="6" fillId="2" borderId="9" xfId="0" applyFont="1" applyFill="1" applyBorder="1" applyAlignment="1">
      <alignment horizontal="center" wrapText="1"/>
    </xf>
    <xf numFmtId="0" fontId="9" fillId="16" borderId="19" xfId="1" applyFont="1" applyFill="1" applyBorder="1" applyAlignment="1">
      <alignment horizontal="center" vertical="center" wrapText="1"/>
    </xf>
    <xf numFmtId="0" fontId="9" fillId="19" borderId="25" xfId="1" applyFont="1" applyFill="1" applyBorder="1" applyAlignment="1">
      <alignment horizontal="center" vertical="center" wrapText="1"/>
    </xf>
    <xf numFmtId="0" fontId="9" fillId="19" borderId="22" xfId="1" applyFont="1" applyFill="1" applyBorder="1" applyAlignment="1">
      <alignment horizontal="center" vertical="center" wrapText="1"/>
    </xf>
    <xf numFmtId="0" fontId="9" fillId="16" borderId="23" xfId="1" applyFont="1" applyFill="1" applyBorder="1" applyAlignment="1">
      <alignment horizontal="center" vertical="center" wrapText="1"/>
    </xf>
    <xf numFmtId="0" fontId="9" fillId="16" borderId="22" xfId="1" applyFont="1" applyFill="1" applyBorder="1" applyAlignment="1">
      <alignment horizontal="center" vertical="center" wrapText="1"/>
    </xf>
    <xf numFmtId="0" fontId="9" fillId="19" borderId="23" xfId="1" applyFont="1" applyFill="1" applyBorder="1" applyAlignment="1">
      <alignment horizontal="center" vertical="center" wrapText="1"/>
    </xf>
    <xf numFmtId="0" fontId="14" fillId="26" borderId="0" xfId="1" applyFont="1" applyFill="1" applyAlignment="1">
      <alignment horizontal="center" vertical="center" wrapText="1"/>
    </xf>
    <xf numFmtId="0" fontId="14" fillId="24" borderId="25" xfId="1" applyFont="1" applyFill="1" applyBorder="1" applyAlignment="1">
      <alignment horizontal="center" vertical="center" wrapText="1"/>
    </xf>
    <xf numFmtId="0" fontId="14" fillId="24" borderId="22" xfId="1" applyFont="1" applyFill="1" applyBorder="1" applyAlignment="1">
      <alignment horizontal="center" vertical="center" wrapText="1"/>
    </xf>
    <xf numFmtId="0" fontId="14" fillId="24" borderId="29" xfId="1" applyFont="1" applyFill="1" applyBorder="1" applyAlignment="1">
      <alignment horizontal="center" vertical="center" wrapText="1"/>
    </xf>
    <xf numFmtId="0" fontId="14" fillId="26" borderId="30" xfId="1" applyFont="1" applyFill="1" applyBorder="1" applyAlignment="1">
      <alignment horizontal="center" vertical="center" wrapText="1"/>
    </xf>
    <xf numFmtId="0" fontId="14" fillId="26" borderId="22" xfId="1" applyFont="1" applyFill="1" applyBorder="1" applyAlignment="1">
      <alignment horizontal="center" vertical="center" wrapText="1"/>
    </xf>
    <xf numFmtId="0" fontId="14" fillId="26" borderId="29" xfId="1" applyFont="1" applyFill="1" applyBorder="1" applyAlignment="1">
      <alignment horizontal="center" vertical="center" wrapText="1"/>
    </xf>
    <xf numFmtId="0" fontId="14" fillId="24" borderId="30" xfId="1" applyFont="1" applyFill="1" applyBorder="1" applyAlignment="1">
      <alignment horizontal="center" vertical="center" wrapText="1"/>
    </xf>
    <xf numFmtId="0" fontId="2" fillId="0" borderId="0" xfId="1" applyFont="1" applyAlignment="1">
      <alignment horizontal="center" vertical="center" wrapText="1"/>
    </xf>
    <xf numFmtId="0" fontId="9" fillId="16" borderId="35" xfId="1" applyFont="1" applyFill="1" applyBorder="1" applyAlignment="1">
      <alignment horizontal="center" vertical="center" wrapText="1"/>
    </xf>
    <xf numFmtId="0" fontId="9" fillId="16" borderId="37" xfId="1" applyFont="1" applyFill="1" applyBorder="1" applyAlignment="1">
      <alignment horizontal="center" vertical="center" wrapText="1"/>
    </xf>
    <xf numFmtId="0" fontId="9" fillId="19" borderId="34" xfId="1" applyFont="1" applyFill="1" applyBorder="1" applyAlignment="1">
      <alignment horizontal="center" vertical="center" wrapText="1"/>
    </xf>
    <xf numFmtId="0" fontId="9" fillId="19" borderId="35" xfId="1" applyFont="1" applyFill="1" applyBorder="1" applyAlignment="1">
      <alignment horizontal="center" vertical="center" wrapText="1"/>
    </xf>
    <xf numFmtId="0" fontId="9" fillId="16" borderId="36" xfId="1" applyFont="1" applyFill="1" applyBorder="1" applyAlignment="1">
      <alignment horizontal="center" vertical="center" wrapText="1"/>
    </xf>
    <xf numFmtId="0" fontId="9" fillId="19" borderId="36" xfId="1" applyFont="1" applyFill="1" applyBorder="1" applyAlignment="1">
      <alignment horizontal="center" vertical="center" wrapText="1"/>
    </xf>
    <xf numFmtId="0" fontId="1" fillId="0" borderId="0" xfId="0" applyFont="1"/>
    <xf numFmtId="0" fontId="5" fillId="30" borderId="57" xfId="0" applyFont="1" applyFill="1" applyBorder="1" applyAlignment="1">
      <alignment horizontal="center" vertical="center" wrapText="1"/>
    </xf>
    <xf numFmtId="0" fontId="0" fillId="0" borderId="10" xfId="0" applyBorder="1" applyAlignment="1">
      <alignment horizontal="center" wrapText="1"/>
    </xf>
    <xf numFmtId="10" fontId="0" fillId="0" borderId="10" xfId="0" applyNumberFormat="1" applyBorder="1" applyAlignment="1">
      <alignment horizontal="center" vertical="center"/>
    </xf>
    <xf numFmtId="10" fontId="0" fillId="0" borderId="10" xfId="0" applyNumberFormat="1" applyBorder="1"/>
    <xf numFmtId="0" fontId="1" fillId="12" borderId="12" xfId="0" applyFont="1" applyFill="1" applyBorder="1" applyAlignment="1">
      <alignment horizontal="center" vertical="center"/>
    </xf>
    <xf numFmtId="0" fontId="1" fillId="12" borderId="13" xfId="0" applyFont="1" applyFill="1" applyBorder="1" applyAlignment="1">
      <alignment horizontal="center" vertical="center"/>
    </xf>
    <xf numFmtId="0" fontId="2" fillId="33" borderId="0" xfId="1" applyFont="1" applyFill="1"/>
    <xf numFmtId="0" fontId="1" fillId="33" borderId="0" xfId="0" applyFont="1" applyFill="1"/>
    <xf numFmtId="0" fontId="1" fillId="33" borderId="0" xfId="0" applyNumberFormat="1" applyFont="1" applyFill="1"/>
    <xf numFmtId="10" fontId="0" fillId="31" borderId="13" xfId="0" applyNumberFormat="1" applyFont="1" applyFill="1" applyBorder="1" applyAlignment="1">
      <alignment horizontal="center"/>
    </xf>
    <xf numFmtId="0" fontId="0" fillId="31" borderId="9" xfId="0" applyFont="1" applyFill="1" applyBorder="1" applyAlignment="1">
      <alignment horizontal="center"/>
    </xf>
    <xf numFmtId="0" fontId="8" fillId="12" borderId="12" xfId="0" applyFont="1" applyFill="1" applyBorder="1" applyAlignment="1">
      <alignment horizontal="center" vertical="center"/>
    </xf>
    <xf numFmtId="0" fontId="8" fillId="12" borderId="13" xfId="0" applyFont="1" applyFill="1" applyBorder="1" applyAlignment="1">
      <alignment horizontal="center" vertical="center"/>
    </xf>
    <xf numFmtId="0" fontId="8" fillId="12" borderId="9" xfId="0" applyFont="1" applyFill="1" applyBorder="1" applyAlignment="1">
      <alignment horizontal="center" vertical="center"/>
    </xf>
    <xf numFmtId="0" fontId="7" fillId="12" borderId="2" xfId="0" applyFont="1" applyFill="1" applyBorder="1" applyAlignment="1">
      <alignment horizontal="center" vertical="center"/>
    </xf>
    <xf numFmtId="0" fontId="7" fillId="12" borderId="3" xfId="0" applyFont="1" applyFill="1" applyBorder="1" applyAlignment="1">
      <alignment horizontal="center" vertical="center"/>
    </xf>
    <xf numFmtId="0" fontId="13" fillId="23" borderId="26" xfId="0" applyFont="1" applyFill="1" applyBorder="1" applyAlignment="1">
      <alignment horizontal="center" vertical="center" wrapText="1"/>
    </xf>
    <xf numFmtId="0" fontId="16" fillId="0" borderId="58" xfId="0" applyFont="1" applyBorder="1" applyAlignment="1">
      <alignment wrapText="1"/>
    </xf>
    <xf numFmtId="0" fontId="16" fillId="0" borderId="59" xfId="0" applyFont="1" applyBorder="1" applyAlignment="1">
      <alignment wrapText="1"/>
    </xf>
    <xf numFmtId="0" fontId="16" fillId="29" borderId="59" xfId="0" applyFont="1" applyFill="1" applyBorder="1" applyAlignment="1">
      <alignment wrapText="1"/>
    </xf>
    <xf numFmtId="0" fontId="16" fillId="0" borderId="0" xfId="0" applyFont="1" applyAlignment="1">
      <alignment wrapText="1"/>
    </xf>
    <xf numFmtId="0" fontId="12" fillId="22" borderId="5" xfId="0" applyFont="1" applyFill="1" applyBorder="1" applyAlignment="1">
      <alignment horizontal="center" vertical="top" wrapText="1"/>
    </xf>
    <xf numFmtId="0" fontId="0" fillId="19" borderId="21" xfId="0" applyFill="1" applyBorder="1" applyAlignment="1">
      <alignment wrapText="1"/>
    </xf>
    <xf numFmtId="0" fontId="0" fillId="16" borderId="21" xfId="0" applyFill="1" applyBorder="1" applyAlignment="1">
      <alignment wrapText="1"/>
    </xf>
    <xf numFmtId="0" fontId="15" fillId="21" borderId="21" xfId="2" applyFont="1" applyFill="1" applyBorder="1" applyAlignment="1">
      <alignment wrapText="1"/>
    </xf>
    <xf numFmtId="0" fontId="0" fillId="21" borderId="21" xfId="0" applyFill="1" applyBorder="1" applyAlignment="1">
      <alignment wrapText="1"/>
    </xf>
    <xf numFmtId="0" fontId="0" fillId="14" borderId="21" xfId="0" applyFill="1" applyBorder="1" applyAlignment="1">
      <alignment wrapText="1"/>
    </xf>
    <xf numFmtId="0" fontId="0" fillId="14" borderId="16" xfId="0" applyFill="1" applyBorder="1" applyAlignment="1">
      <alignment wrapText="1"/>
    </xf>
    <xf numFmtId="0" fontId="0" fillId="20" borderId="5" xfId="0" applyFill="1" applyBorder="1" applyAlignment="1">
      <alignment wrapText="1"/>
    </xf>
    <xf numFmtId="0" fontId="4" fillId="16" borderId="21" xfId="1" applyFill="1" applyBorder="1" applyAlignment="1">
      <alignment wrapText="1"/>
    </xf>
  </cellXfs>
  <cellStyles count="3">
    <cellStyle name="Hipervínculo" xfId="2" builtinId="8"/>
    <cellStyle name="Normal" xfId="0" builtinId="0"/>
    <cellStyle name="Normal 2" xfId="1" xr:uid="{DFAF6ABE-2902-5840-B8D7-31A89A2D8BCA}"/>
  </cellStyles>
  <dxfs count="11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thin">
          <color theme="1"/>
        </right>
        <top/>
        <bottom/>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style="thin">
          <color theme="1"/>
        </left>
        <right/>
        <top/>
        <bottom/>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externalLink" Target="externalLinks/externalLink10.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externalLink" Target="externalLinks/externalLink9.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externalLink" Target="externalLinks/externalLink3.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externalLink" Target="externalLinks/externalLink11.xml"/><Relationship Id="rId30" Type="http://schemas.openxmlformats.org/officeDocument/2006/relationships/styles" Target="styles.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DATA-Mosquito_annotated.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BRIEF-indonesiaCovid.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SDATA-Lontar.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joanginer/sites/anonCKIM/results/Sample-results-shee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DATA-Whole_Body_FD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DATA-Quechu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DATA-Melanom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DATA-Leaf_Clinical.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BRIEF-Antimicrobial.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BRIEF-Albanian.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BRIEF-Prostat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BRIEF-Keny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
      <sheetName val="Results-low"/>
      <sheetName val="Mosquito"/>
    </sheetNames>
    <sheetDataSet>
      <sheetData sheetId="0"/>
      <sheetData sheetId="1">
        <row r="2">
          <cell r="G2" t="str">
            <v xml:space="preserve"> The purpose of the dataset is to help develop a machine learning model that can recognize mosquito species in normal or smashed conditions in the public community.</v>
          </cell>
          <cell r="K2" t="str">
            <v>a new mosquito images dataset that is suitable for training and evaluating a recognition system on mosquitoes in normal or smashed conditions.</v>
          </cell>
        </row>
        <row r="3">
          <cell r="G3" t="str">
            <v xml:space="preserve"> image-classification, classification</v>
          </cell>
          <cell r="K3" t="str">
            <v>image-classification</v>
          </cell>
        </row>
        <row r="4">
          <cell r="G4" t="str">
            <v xml:space="preserve"> Mosquito surveillance, Aedes aegypti, Aedes albopictus, Culex quinquefasciatus, human skin tone diversity, machine learning, deep convolutional neural networks, Teachable Machine 2.0, data splitting, partitioning, hyperparameters, learning rate, batch size, epoch, confusion matrix, accuracy, loss, annotation, taxonomy, medical entomologist, Creative Commons license.</v>
          </cell>
          <cell r="K4" t="str">
            <v>Aedes aegypti, Aedes albopictus, Culex quinquefasciatus</v>
          </cell>
        </row>
        <row r="5">
          <cell r="G5" t="str">
            <v xml:space="preserve"> The dataset intends to fill the gap of a dataset that contains images of mosquitoes in smashed or damaged conditions, as well as images of mosquitoes of three species (Aedes aegypti, Aedes albopictus and Culex quinquefasciatus) annotated to species level. It also aims to provide data with human skin tone diversity and images taken in a high-resolution camera and under standardized laboratory conditions.</v>
          </cell>
          <cell r="K5" t="str">
            <v>The images of mosquito in hashed condition, which to the best of our knowledge, a dataset that fulfilled such condition is not available.</v>
          </cell>
        </row>
        <row r="7">
          <cell r="G7" t="str">
            <v xml:space="preserve"> The dataset is recommended for applications that require a recognition system to classify mosquito species in normal or smashed conditions.</v>
          </cell>
          <cell r="K7" t="str">
            <v>The image dataset consists of six root files which are raw image data of three mosquito species with two conditions, respectively, and one data pre-processed file that could serve as an authenticated dataset in recognise three of the mosquitoes, and subsequently applied by potential user such as machine learning engineer, apps developer, data scientist, etc. The ultimate goal for the application can benefit in developing a more effective tools in recognise the mosquito species, which is crucial in mosquito surveillance.</v>
          </cell>
        </row>
        <row r="8">
          <cell r="G8" t="str">
            <v xml:space="preserve"> No.</v>
          </cell>
          <cell r="K8" t="str">
            <v>no</v>
          </cell>
        </row>
        <row r="9">
          <cell r="G9" t="str">
            <v xml:space="preserve"> The models used to test the dataset are deep convolutional neural networks (DCNN).  The results of the pilot test of the deep learning model are summarized in Figure 4. The confusion matrix, accuracy, and error loss are shown for the dataset tested at three learning rates (0.01, 0.001, and 0.0001).</v>
          </cell>
          <cell r="K9" t="str">
            <v>AlexNet6, ResNet and VGG-167, F1 = 0.998, Accuracy = 0.998, and other metrics are not mentioned</v>
          </cell>
        </row>
        <row r="10">
          <cell r="G10" t="str">
            <v xml:space="preserve"> Song-Quan Ong &amp; Hamdan Ahmad, Universiti Malaysia Sabah</v>
          </cell>
          <cell r="K10" t="str">
            <v>Song-Quan Ong &amp; Hamdan Ahmad</v>
          </cell>
        </row>
        <row r="11">
          <cell r="G11" t="str">
            <v xml:space="preserve"> Yes, the work was partly supported by Ministry of Higher Education Fundamental Research Grant Scheme (FRGS) (FRGS/1/2021/STG03/KDUPG/02/1) SQO, Principal Investigator.</v>
          </cell>
          <cell r="K11" t="str">
            <v>The work was partly supported by Ministry of Higher Education Fundamental Research Grant Scheme (FRGS)</v>
          </cell>
        </row>
        <row r="12">
          <cell r="G12" t="str">
            <v xml:space="preserve"> Unknown</v>
          </cell>
          <cell r="K12" t="str">
            <v>public</v>
          </cell>
        </row>
        <row r="13">
          <cell r="G13" t="str">
            <v xml:space="preserve"> Not provided.</v>
          </cell>
          <cell r="K13" t="str">
            <v>FRGS/1/2021/STG03/KDUPG/02/1)</v>
          </cell>
        </row>
        <row r="14">
          <cell r="G14" t="str">
            <v xml:space="preserve"> The maintainers of the dataset are Song-Quan Ong and Hamdan Ahmad.</v>
          </cell>
          <cell r="K14" t="str">
            <v>Song-Quan Ong &amp; Hamdan Ahmad</v>
          </cell>
        </row>
        <row r="15">
          <cell r="G15" t="str">
            <v xml:space="preserve"> No.</v>
          </cell>
          <cell r="K15" t="str">
            <v>The dataset consists of only three mosquito species.</v>
          </cell>
        </row>
        <row r="16">
          <cell r="G16" t="str">
            <v xml:space="preserve"> No.</v>
          </cell>
          <cell r="K16" t="str">
            <v>no</v>
          </cell>
        </row>
        <row r="17">
          <cell r="G17" t="str">
            <v xml:space="preserve"> No.</v>
          </cell>
          <cell r="K17" t="str">
            <v>no</v>
          </cell>
        </row>
        <row r="18">
          <cell r="G18" t="str">
            <v xml:space="preserve"> Yes, the dataset is publicly available in Mendeley Data, Identification number: https://doi.org/10.17632/zw4p9kj6nt.2.</v>
          </cell>
          <cell r="K18" t="str">
            <v>Yes</v>
          </cell>
        </row>
        <row r="19">
          <cell r="G19" t="str">
            <v xml:space="preserve"> Creative Commons Attribution 4.0 International License</v>
          </cell>
          <cell r="K19" t="str">
            <v>Creative Commons Attribution 4.0 International License</v>
          </cell>
        </row>
        <row r="21">
          <cell r="G21" t="str">
            <v xml:space="preserve"> The models trained with this data are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v>
          </cell>
          <cell r="K21" t="str">
            <v>Creative Commons Attribution 4.0 International License</v>
          </cell>
        </row>
        <row r="22">
          <cell r="G22" t="str">
            <v xml:space="preserve"> Yes, the dataset is licensed under a Creative Commons Attribution 4.0 International License, which requires users to give appropriate credit to the original author(s) and the source, provide a link to the Creative Commons license, and indicate if changes were made.</v>
          </cell>
          <cell r="K22" t="str">
            <v>This article is licensed under a Creative Commons Attribution 4.0 International License</v>
          </cell>
        </row>
        <row r="23">
          <cell r="G23" t="str">
            <v xml:space="preserve"> No, the authors are in charge of the license and distribution of the dataset.</v>
          </cell>
          <cell r="K23" t="str">
            <v>No</v>
          </cell>
        </row>
        <row r="24">
          <cell r="G24" t="str">
            <v xml:space="preserve"> Yes, the dataset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v>
          </cell>
          <cell r="K24" t="str">
            <v>The dataset is publicly available in Mendeley Data, Identification number: https://doi.org/10.17632/zw4p9kj6nt.2.</v>
          </cell>
        </row>
        <row r="27">
          <cell r="G27" t="str">
            <v xml:space="preserve"> The dataset consists of seven root files, six root files that composed of six classes (each species with either normal landing, or random damaged conditions) with a total of 1500 images, and one pre-processed file which consists of a train, test and prediction set, respectively for model construction. The six root files represent six classes of mosquitoes, and the pre-processed file contains data that have been augmented with four degrees of rotation – 0°, 90°, 180°, 270°, and partitioned into a training and testing set, and one prediction set to evaluate the model performance.</v>
          </cell>
          <cell r="K27" t="str">
            <v>Six root files that represent six classes of mosquitoes, and one pre-processed file</v>
          </cell>
        </row>
        <row r="28">
          <cell r="G28" t="str">
            <v xml:space="preserve"> The dataset contains images of three mosquito species (Aedes aegypti, Aedes albopictus, and Culex quinquefasciatus) in two conditions (normal landing and smashed/damaged). The images were annotated until species level and resized to 224 x 224 pixels. The dataset also contains a data pre-processed file that has data that have been augmented with four degrees of rotation (0°, 90°, 180°, 270°) and partitioned into a training and testing set, and one prediction set to evaluate the model performance.</v>
          </cell>
          <cell r="K28" t="str">
            <v>The dataset contains a data pre-processed file that has data that have been augmented with four degrees of rotation – 0°, 90°, 180°, 270°, and partitioned into a training and testing set, and one prediction set to evaluate the model performance.</v>
          </cell>
        </row>
        <row r="30">
          <cell r="G30" t="str">
            <v xml:space="preserve"> No, there is no explicit consistency rule for the data.</v>
          </cell>
          <cell r="K30" t="str">
            <v>No</v>
          </cell>
        </row>
        <row r="31">
          <cell r="G31" t="str">
            <v xml:space="preserve"> The dataset contains a data pre-processed file that has data that have been augmented with four degrees of rotation – 0°, 90°, 180°, 270°, and partitioned into a training and testing set, and one prediction set to evaluate the model performance.</v>
          </cell>
          <cell r="K31" t="str">
            <v>training set (85%) and the prediction is carried out on a testing set (15%)</v>
          </cell>
        </row>
        <row r="33">
          <cell r="G33" t="str">
            <v xml:space="preserve"> The data was collected by using a DSLR camera with Tamron SP AF 90 mm f/2.8 Di Macro Lens in a netted cage with 34 W white light illumination on top of the cage. The volunteers consisted of three ethnicities – Malay, Chinese and India, and the mosquitoes were bred and grew to adult stage, 4–5 days old in a fully control laboratory. The images were acquired by releasing the mosquitoes one by one from a Polyethylene terephthalate (PET) container and different angles of the landed mosquitos’ images were acquired. Smashed mosquitoes were generated by smashing the mosquito randomly by a human palm in a non-feeding, partial, or fully repletion situation.</v>
          </cell>
          <cell r="K33" t="str">
            <v>The mosquito obtained from the mosquito breeding was transferred by a Polyethylene terephthalate (PET) container (diameter 12 cm, height 6 cm, Fig. 2a) to the net cage for image acquisition. The container and camera were placed in the cage for 30 minutes to allow the mosquito to adapt to the environment before images acquisition. The images were acquired by a digital single-lens reflex (DSLR) camera (Canon 7D, 18MP APS-C CMOS sensor, ISO 3200, auto white balance) with Tamron SP AF 90.
Labels: Aedes aegypti, Aedes albopictus, Culex quinquefasciatus</v>
          </cell>
        </row>
        <row r="34">
          <cell r="G34" t="str">
            <v xml:space="preserve"> Physical data collection</v>
          </cell>
          <cell r="K34" t="str">
            <v>Physical data collection</v>
          </cell>
        </row>
        <row r="35">
          <cell r="G35" t="str">
            <v xml:space="preserve"> 5 April 2022 - 8 July 2022</v>
          </cell>
          <cell r="K35" t="str">
            <v>5 April 2022</v>
          </cell>
        </row>
        <row r="37">
          <cell r="G37" t="str">
            <v xml:space="preserve"> Vector Control Research Unit (VCRU), Universiti Sains Malaysia.</v>
          </cell>
          <cell r="K37" t="str">
            <v>Universiti Sains Malaysia</v>
          </cell>
        </row>
        <row r="39">
          <cell r="G39" t="str">
            <v xml:space="preserve"> No</v>
          </cell>
          <cell r="K39" t="str">
            <v>No</v>
          </cell>
        </row>
        <row r="40">
          <cell r="G40" t="str">
            <v xml:space="preserve"> The data has been collected from Vector Control Research Unit (VCRU), Universiti Sains Malaysia. VCRU is a WHO accredited breeding laboratory that provides pure bred of the susceptible strain of Ae. aegypti, Ae. albopictus and Cx quinquefasciatus.</v>
          </cell>
          <cell r="K40" t="str">
            <v>not provided</v>
          </cell>
        </row>
        <row r="41">
          <cell r="G41" t="str">
            <v xml:space="preserve"> Vector Control Research Unit (VCRU), Universiti Sains Malaysia.</v>
          </cell>
          <cell r="K41" t="str">
            <v>Polyethylene terephthalate</v>
          </cell>
        </row>
        <row r="42">
          <cell r="G42" t="str">
            <v xml:space="preserve"> I don't know.</v>
          </cell>
          <cell r="K42" t="str">
            <v>I don't know</v>
          </cell>
        </row>
        <row r="43">
          <cell r="G43" t="str">
            <v xml:space="preserve"> I don't know.</v>
          </cell>
          <cell r="K43" t="str">
            <v>not provided</v>
          </cell>
        </row>
        <row r="44">
          <cell r="G44" t="str">
            <v xml:space="preserve"> The team who collected the data was Song-Quan Ong, Hamdan Ahmad, and S.Q.O. All authors contributed substantially to providing data, checking the information on distribution and status of the species.</v>
          </cell>
          <cell r="K44" t="str">
            <v>Song-Quan Ong &amp; Hamdan Ahmad</v>
          </cell>
        </row>
        <row r="45">
          <cell r="G45" t="str">
            <v xml:space="preserve"> The data was collected by an internal team.</v>
          </cell>
          <cell r="K45" t="str">
            <v>an internal team</v>
          </cell>
        </row>
        <row r="46">
          <cell r="G46" t="str">
            <v xml:space="preserve"> No, there is no demographic information of the data collection team.</v>
          </cell>
          <cell r="K46" t="str">
            <v>No</v>
          </cell>
        </row>
        <row r="48">
          <cell r="G48" t="str">
            <v xml:space="preserve"> The data of the dataset has been annotated until species level. The mosquitoes were bred and grew to adult stage, 4–5 days old in a fully control laboratory, Vector Control Research Unit, Universiti Sains Malaysia, which is accredited by WHO for insecticides susceptibility test. The data collection process involved transferring the mosquito from the mosquito breeding to a netted cage for image acquisition. The images were acquired by a digital single-lens reflex (DSLR) camera and the images were saved in JPEG format in the folders according to their classes. Images were later resized from original dimension into 224 × 224 pixels.</v>
          </cell>
          <cell r="K48" t="str">
            <v>The images were annotated until species level due to the specimen was purely bred in a WHO accredited breeding laboratory.</v>
          </cell>
        </row>
        <row r="49">
          <cell r="G49" t="str">
            <v xml:space="preserve"> Image and video annotations</v>
          </cell>
          <cell r="K49" t="str">
            <v>Image and video annotations</v>
          </cell>
        </row>
        <row r="50">
          <cell r="K50" t="str">
            <v>Aedes aegypti, Aedes albopictus, Culex quinquefasciatus</v>
          </cell>
        </row>
        <row r="51">
          <cell r="G51" t="str">
            <v xml:space="preserve"> The data was annotated by two medical entomologists.</v>
          </cell>
          <cell r="K51" t="str">
            <v>S.Q.O. compiled the data, created the first dataset version, and wrote the first version of the manuscript with inputs from H.A. and S.Q.O.</v>
          </cell>
        </row>
        <row r="52">
          <cell r="G52" t="str">
            <v xml:space="preserve"> The data was annotated by an internal team.</v>
          </cell>
          <cell r="K52" t="str">
            <v>an internal team</v>
          </cell>
        </row>
        <row r="53">
          <cell r="G53" t="str">
            <v xml:space="preserve"> No, there is no demographic information about the team who annotated the data.</v>
          </cell>
          <cell r="K53" t="str">
            <v>The volunteer consists of three ethnicities – Malay, Chinese and India, which aim to reflect the diversity of human skin tone</v>
          </cell>
        </row>
        <row r="54">
          <cell r="G54" t="str">
            <v xml:space="preserve"> Teachable Machine 2.0</v>
          </cell>
          <cell r="K54" t="str">
            <v>Teachable Machine 2.0</v>
          </cell>
        </row>
        <row r="55">
          <cell r="G55" t="str">
            <v xml:space="preserve"> The dataset has been validated by two medical entomologists and the model has been tested with a pilot test using a deep learning model with three different learning rates.</v>
          </cell>
          <cell r="K55" t="str">
            <v>Confusion matrix, accuracy, and error loss</v>
          </cell>
        </row>
        <row r="69">
          <cell r="G69" t="str">
            <v xml:space="preserve"> No, the dataset was collected from volunteers of three different ethnicities to reflect the diversity of human skin tone. The mosquitoes were bred and grown to adult stage in a fully controlled laboratory and the taxonomy of the mosquito was validated by two medical entomologists.</v>
          </cell>
          <cell r="K69" t="str">
            <v>The volunteers that participated in this dataset were Asian, and therefore is not covering the skin tone background of American, African, European, and Australian</v>
          </cell>
        </row>
        <row r="70">
          <cell r="G70" t="str">
            <v xml:space="preserve"> Yes, the dataset lacks human skin tone diversity. The volunteers that participated in this dataset were Asian, and therefore is not covering the skin tone background of American, African, European, and Australian.</v>
          </cell>
          <cell r="K70" t="str">
            <v>The volunteers that participated in this dataset were Asian, and therefore is not covering the skin tone background of American, African, European, and Australian</v>
          </cell>
        </row>
        <row r="71">
          <cell r="G71" t="str">
            <v xml:space="preserve"> No, the dataset is balanced with 1500 images for each class.</v>
          </cell>
          <cell r="K71" t="str">
            <v>Lack of human skin tone diversity</v>
          </cell>
        </row>
        <row r="72">
          <cell r="G72" t="str">
            <v xml:space="preserve"> No, there are no sensitive data or data that can be offensive for people in the dataset.</v>
          </cell>
          <cell r="K72" t="str">
            <v>The volunteers that participated in this dataset were Asian, and therefore is not covering the skin tone background of American, African, European, and Australian</v>
          </cell>
        </row>
        <row r="73">
          <cell r="G73" t="str">
            <v xml:space="preserve"> No, there are no privacy issues on the data. The dataset is publicly available and the volunteers that participated in this dataset were aware of the data collection process.</v>
          </cell>
          <cell r="K73" t="str">
            <v>Ethical approval for using participants palm and mosquito imaging was obtained from the ethics commission of the Universiti Malaysia Sabah (EM1012/2021).</v>
          </cell>
        </row>
      </sheetData>
      <sheetData sheetId="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low"/>
      <sheetName val="Results-high"/>
    </sheetNames>
    <sheetDataSet>
      <sheetData sheetId="0">
        <row r="2">
          <cell r="F2" t="str">
            <v xml:space="preserve"> The purpose of the dataset is to help researchers develop state-of-the-art models for stance detection on tweets, especially Indonesian opinion, and to monitor and analyze public opinion on Twitter related to the COVID-19 vaccination program during Indonesia's first ten months of the vaccination program, which is helpful as a guide in the development of policies.</v>
          </cell>
          <cell r="H2" t="str">
            <v>stance detection, aspect-based sentiment analysis, and social network analysis</v>
          </cell>
        </row>
        <row r="3">
          <cell r="F3" t="str">
            <v xml:space="preserve"> text-classification, sentiment-analysis, social network analysis, public opinion analysis</v>
          </cell>
          <cell r="H3" t="str">
            <v>text-classification</v>
          </cell>
        </row>
        <row r="4">
          <cell r="F4" t="str">
            <v xml:space="preserve"> COVID-19, Vaccination, Stance Detection, Aspect-based Sentiment Analysis, Indonesian, Twitter, Public Opinion Analysis, Vaccine Acceptance, Network Features, Classification Models, Data Labeling, Majority Voting Strategy, Word Embedding, Word2Vec, TF-IDF, Random Forest, BiLSTM, GRU, KNN, SVM, Naïve Bayes, Decision Tree</v>
          </cell>
          <cell r="H4" t="str">
            <v>stance, neutral, against, aspect, aspect_category, aspect_sentiment, stance</v>
          </cell>
        </row>
        <row r="5">
          <cell r="F5" t="str">
            <v xml:space="preserve"> The dataset intends to fill the gaps in understanding how sentiment and contextual information impact the performance of stance detection on Twitter text (tweets), which are short texts with slight information. It also provides insights into diverse aspects of the COVID-19 vaccination program, making it possible to provide more accurate sentiment information. It can help the research community develop state-of-the-art models for stance detection on tweets, especially Indonesian opinion.</v>
          </cell>
          <cell r="H5" t="str">
            <v>This data is not only for validating sentiment and contextual information for stance detection but can also be used for public opinion analysis of vaccination programs that tend to have pros and cons opinion.</v>
          </cell>
        </row>
        <row r="7">
          <cell r="F7" t="str">
            <v xml:space="preserve"> The dataset is recommended for public opinion analysis on Twitter, including stance detection, aspect-based sentiment analysis, and social network analysis. It can also be used for public health surveillance to prevent rejection and increase public acceptance of the COVID-19 vaccine.</v>
          </cell>
          <cell r="H7" t="str">
            <v>public opinion analysis on Twitter</v>
          </cell>
        </row>
        <row r="8">
          <cell r="F8" t="str">
            <v xml:space="preserve"> No.</v>
          </cell>
          <cell r="H8" t="str">
            <v>no</v>
          </cell>
        </row>
        <row r="9">
          <cell r="F9" t="str">
            <v xml:space="preserve"> The models used to test the dataset were Naïve Bayes (NB), K-Nearest Neighbor (KNN), Decision Tree (DT), Support Vector Machine (SVM), Random Forest (RF), Gated Recurrent Unit (GRU), Bidirectional GRU (BiGRU), Long Short-Term Memory (LSTM), and Bidirectional LSTM (BiLSTM).</v>
          </cell>
          <cell r="H9" t="str">
            <v>Nave Bayes (NB), K-Nearest Neighbor (KNN), Decision Tree (DT), Support Vector Machine (SVM), and Random Forest (RF), were implemented using sklearn 7 with default parameters.</v>
          </cell>
        </row>
        <row r="11">
          <cell r="F11" t="str">
            <v xml:space="preserve"> Diana Purwitasari, Cornelius Bagus Purnama Putra, Agus Budi Raharjo</v>
          </cell>
          <cell r="H11" t="str">
            <v>Diana Purwitasari, Cornelius Bagus Purnama Putra, Agus Budi Raharjo</v>
          </cell>
        </row>
        <row r="12">
          <cell r="F12" t="str">
            <v xml:space="preserve"> Yes, this work was supported by Indonesian Ministry of Research and Technology under Grant No. 084/E5/PG.02.00.PT/2022 with an institutional contract No. 1440/PKS/ITS/2022.</v>
          </cell>
          <cell r="H12" t="str">
            <v>Indonesian Ministry of Research and Technology</v>
          </cell>
        </row>
        <row r="13">
          <cell r="F13" t="str">
            <v xml:space="preserve"> Public</v>
          </cell>
          <cell r="H13" t="str">
            <v>public</v>
          </cell>
        </row>
        <row r="14">
          <cell r="F14" t="str">
            <v xml:space="preserve"> Not provided.</v>
          </cell>
          <cell r="H14" t="str">
            <v>not provided</v>
          </cell>
        </row>
        <row r="15">
          <cell r="F15" t="str">
            <v xml:space="preserve"> The maintainers of the dataset are Diana Purwitasari, Cornelius Bagus Purnama Putra, and Agus Budi Raharjo.</v>
          </cell>
          <cell r="H15" t="str">
            <v>Diana Purwitasari, Cornelius Bagus Purnama Putra, Agus Budi Raharjo</v>
          </cell>
        </row>
        <row r="16">
          <cell r="F16" t="str">
            <v xml:space="preserve"> No.</v>
          </cell>
          <cell r="H16" t="str">
            <v>The dataset was collected and processed to further increase our understanding of how sentiment and contextual information impact the performance of stance detection on Twitter text (tweet), which is a short text with slight information. The data in Indonesian language since Indonesian Twitter users are among the active ones especially during pandemic. This data is not only for validating sentiment and contextual information for stance detection but can also be used for public opinion analysis of vaccination programs that tend to have pros and cons opinion. This dataset adds value aspect-based sentiment information as sub-topics for more accurate sentiment information at the aspect level on</v>
          </cell>
        </row>
        <row r="17">
          <cell r="F17" t="str">
            <v xml:space="preserve"> No.</v>
          </cell>
          <cell r="H17" t="str">
            <v>no</v>
          </cell>
        </row>
        <row r="19">
          <cell r="F19" t="str">
            <v xml:space="preserve"> Yes, there is a link to the repository containing the data. The link is https://data.mendeley.com/datasets/7ky2jbjwtn/3.</v>
          </cell>
          <cell r="H19" t="str">
            <v>https://data.mendeley.com/datasets/7ky2jbjwtn/3</v>
          </cell>
        </row>
        <row r="20">
          <cell r="H20" t="str">
            <v>Twitter developer policy 2022</v>
          </cell>
        </row>
        <row r="21">
          <cell r="F21" t="str">
            <v xml:space="preserve"> The stand-alone dataset has the right to be used for monitoring and analyzing public opinion on Twitter related to the COVID-19 vaccination program during Indonesia's first ten months of the vaccination program, which is helpful as a guide in the development of policies. It can also be used for many research purposes, including stance detection and aspect-based sentiment analysis, especially public opinion analysis on Twitter.</v>
          </cell>
        </row>
        <row r="22">
          <cell r="F22" t="str">
            <v xml:space="preserve"> The models trained with this data are subject to the Twitter developer policy 2022 and its regulations.</v>
          </cell>
        </row>
        <row r="23">
          <cell r="F23" t="str">
            <v xml:space="preserve"> Yes, due to Twitter's content redistribution policies [[1]], the authors provide a credit authorship contribution statement and an acknowledgement section.</v>
          </cell>
        </row>
        <row r="24">
          <cell r="F24" t="str">
            <v xml:space="preserve"> No, due to Twitter's content redistribution policies, the authors only shared Tweet IDs, user IDs, the user community, and the annotation label. Researchers should collect the tweets using Twitter API to provide the information needed.</v>
          </cell>
        </row>
        <row r="25">
          <cell r="F25" t="str">
            <v xml:space="preserve"> No, there is no deprecation plan or policy of the dataset.</v>
          </cell>
          <cell r="H25" t="str">
            <v>Our data were collected, scraped, and distributed under the Twitter developer policy 2022 and followed its regulations</v>
          </cell>
        </row>
        <row r="27">
          <cell r="F27" t="str">
            <v xml:space="preserve"> The dataset is composed of three data files: Indo_vaccination_raw.csv, Indo_vaccination_cleaned.csv, and Indo_vaccination_labeled.csv.</v>
          </cell>
          <cell r="H27" t="str">
            <v>There were three data files in our dataset and readme file.</v>
          </cell>
        </row>
        <row r="28">
          <cell r="F28" t="str">
            <v xml:space="preserve"> The dataset is composed of three files: Indo_vaccination_raw.csv, Indo_vaccination_cleaned.csv, and Indo_vaccination_labeled.csv. The Indo_vaccination_raw.csv file is the initial dataset obtained from the data collection process using Twitter API services. It contains 2,400,414 Indonesian COVID-19 vaccine-related tweets. The Indo_vaccination_cleaned.csv file is the cleaned dataset obtained from the data cleaning and preprocessing. It contains 248,604 tweets posted by 140,761 unique users on Twitter. The Indo_vaccination_labeled.csv file is the labeled dataset which contains 9,030 manually selected tweets from the cleaned dataset. It is identified by two labeling tasks: stance and aspect-based sentiment labels.</v>
          </cell>
          <cell r="H28" t="str">
            <v>The Initial dataset is a raw data that obtained from the data collection process using Twitter API services. This study collected 2,400,414 Indonesian COVID-19 vaccine-related tweets as the initial dataset (Indo_vaccination_raw.csv) during the first ten months of the COVID-19 vaccination program in Indonesia, from January to October 2021. This raw data contains unfiltered list of tweets used in this study.</v>
          </cell>
        </row>
        <row r="30">
          <cell r="F30" t="str">
            <v xml:space="preserve"> Yes, Table 2 displays the distribution of each class label column. The labeled dataset annotations classify three predefined labels of stance, including favor containing 3,753 tweets, neutral with 3,299 tweets, and against with 1,978 tweets. Moreover, each tweet is annotated into seven predetermined categories of aspects concerning the target that represent challenges and issues of the COVID-19 vaccination program, including services, implementation, apps, costs, participants, vaccine products, and general. Each tweet can have a multiple-aspect category, with each aspect category having two possible sentiment values: positive and negative.</v>
          </cell>
          <cell r="H30" t="str">
            <v xml:space="preserve">The dataset contains three data files: a.initial data (Indo_vaccination_raw.csv) The initial dataset is a raw data that obtained from the data collection process using Twitter API services. This study collected 2,400,414 Indonesian COVID-19 vaccine-related tweets as the initial dataset (Indo_vaccination_raw.csv) during the first ten months of the COVID-19 vaccination program in Indonesia, from January to October 2021. This raw data contains unfiltered list of tweets used in this study. </v>
          </cell>
        </row>
        <row r="31">
          <cell r="F31" t="str">
            <v xml:space="preserve"> No, the data does not have any explicit consistency rule. The data was labeled using a majority voting strategy for the final label. If each analyst's notation differed, the tweet was marked as class invalid.</v>
          </cell>
          <cell r="H31" t="str">
            <v>No</v>
          </cell>
        </row>
        <row r="32">
          <cell r="F32" t="str">
            <v xml:space="preserve"> No, the paper does not mention any recommended data split of the dataset.</v>
          </cell>
          <cell r="H32" t="str">
            <v>Not mentioned</v>
          </cell>
        </row>
        <row r="34">
          <cell r="F34" t="str">
            <v xml:space="preserve"> The data was collected using Twitter API on Python with specific keywords: vaksin (vaccines) and vaksinasi (vaccination). The tweets used are Indonesian tweets posted between January and October 2021, Indonesia's first period of COVID-19 vaccination. A maximum of 250,000 sample tweets were collected each month. The data was filtered to remove irrelevant data, including non-Bahasa (Indonesian language), non-COVID-19 vaccine-related, and spam tweets. The data was also filtered from a tweet by the government account to represent public opinion without any specific purpose. Finally, 248,604 tweets (representing 10% of the initial dataset) posted by 140,761 unique users on Twitter were cleaned as a raw dataset.</v>
          </cell>
          <cell r="H34" t="str">
            <v>The data were collected using Twitter API 1 on Python with specific keywords: vaksin (vaccines) and vaksinasi (vaccination).</v>
          </cell>
        </row>
        <row r="35">
          <cell r="F35" t="str">
            <v xml:space="preserve"> Web API</v>
          </cell>
          <cell r="H35" t="str">
            <v>Web API</v>
          </cell>
        </row>
        <row r="36">
          <cell r="F36" t="str">
            <v xml:space="preserve"> January to October 2021</v>
          </cell>
          <cell r="H36" t="str">
            <v>January and October 2021</v>
          </cell>
        </row>
        <row r="38">
          <cell r="F38" t="str">
            <v xml:space="preserve"> Not provided</v>
          </cell>
          <cell r="H38" t="str">
            <v>Twitter</v>
          </cell>
        </row>
        <row r="40">
          <cell r="F40" t="str">
            <v xml:space="preserve"> Yes</v>
          </cell>
          <cell r="H40" t="str">
            <v>Yes</v>
          </cell>
        </row>
        <row r="41">
          <cell r="F41" t="str">
            <v xml:space="preserve"> The data was collected from Twitter using the Twitter API services. The data was collected between January and October 2021, Indonesia's first period of COVID-19 vaccination, and contained 2,400,414 Indonesian COVID-19 vaccine-related tweets.</v>
          </cell>
          <cell r="H41" t="str">
            <v>Twitter</v>
          </cell>
        </row>
        <row r="42">
          <cell r="F42" t="str">
            <v xml:space="preserve"> Twitter API services</v>
          </cell>
          <cell r="H42" t="str">
            <v>Twitter API 1</v>
          </cell>
        </row>
        <row r="43">
          <cell r="F43" t="str">
            <v xml:space="preserve"> It is possible that there could be noise or potential bias in the data source, depending on the content of the tweets and the users who are posting them.</v>
          </cell>
          <cell r="H43" t="str">
            <v>I don't know</v>
          </cell>
        </row>
        <row r="44">
          <cell r="F44" t="str">
            <v xml:space="preserve"> No, I don't know of any link to access the data source.</v>
          </cell>
          <cell r="H44" t="str">
            <v>not provided</v>
          </cell>
        </row>
        <row r="45">
          <cell r="F45" t="str">
            <v xml:space="preserve"> Diana Purwitasari, Cornelius Bagus Purnama Putra, and Agus Budi Raharjo.</v>
          </cell>
          <cell r="H45" t="str">
            <v>Diana Purwitasari, Cornelius Bagus Purnama Putra, Agus Budi Raharjo</v>
          </cell>
        </row>
        <row r="46">
          <cell r="F46" t="str">
            <v xml:space="preserve"> The data was collected by an internal team.</v>
          </cell>
          <cell r="H46" t="str">
            <v>an external team</v>
          </cell>
        </row>
        <row r="47">
          <cell r="F47" t="str">
            <v xml:space="preserve"> No, the data does not contain any demographic information.</v>
          </cell>
          <cell r="H47" t="str">
            <v>No</v>
          </cell>
        </row>
        <row r="49">
          <cell r="F49" t="str">
            <v xml:space="preserve"> The data was annotated by three independent analysts using LabelStudio 5. The analysts labeled the data manually and used the majority voting strategy for the final class label. The data was annotated into three classes: favor, against, and neutral for stance labeling, and seven predetermined aspects for aspect-based sentiment labeling, including services, implementation, apps, costs, participants, vaccine products, and general. Each aspect has two possible sentiment values, positive or negative. If a tweet had multi-aspects, the sentiments of the aspects were categorized into one-sentiment information. The analysts applied the majority voting strategy to the final label of the tweet. The Cohen's kappa coefficient was calculated for stance and aspect-based sentiment labels to evaluate the agreement between analysts.</v>
          </cell>
          <cell r="H49" t="str">
            <v>Three independent analysts annotated the sample data with a majority voting strategy for the final label.</v>
          </cell>
        </row>
        <row r="50">
          <cell r="F50" t="str">
            <v xml:space="preserve"> Content and textual categorization</v>
          </cell>
          <cell r="H50" t="str">
            <v>Image and video annotations</v>
          </cell>
        </row>
        <row r="51">
          <cell r="F51" t="str">
            <v xml:space="preserve"> The dataset contains six columns (id, user_id, community, aspect_category, aspect_sentiment, stance). The labels are: 
id: a unique identifier for each tweet
user_id: a unique identifier for each user
community: a user community detected using Louvain modularity
aspect_category: a predetermined category of aspects concerning the target
aspect_sentiment: two possible sentiment values for each aspect category: positive and negative
stance: three predefined labels of stance: favor, against, and neutral.</v>
          </cell>
          <cell r="H51" t="str">
            <v>stance, aspect_category, aspect_sentiment, community</v>
          </cell>
        </row>
        <row r="52">
          <cell r="F52" t="str">
            <v xml:space="preserve"> Three independent analysts annotated the sample data with a majority voting strategy for the final label. The three independent analysts were two researchers in natural language processing (one MSc-level and one BSc-level) and one communication science expert (BSc-level).</v>
          </cell>
          <cell r="H52" t="str">
            <v>Three independent analysts</v>
          </cell>
        </row>
        <row r="53">
          <cell r="F53" t="str">
            <v xml:space="preserve"> An internal team. Three independent analysts—two researchers in natural language processing (one MSc-level and one BSc-level) and one communication science expert (BSc-level)—labeled the data manually and used the majority voting strategy for the final class label.</v>
          </cell>
          <cell r="H53" t="str">
            <v>Three independent analysts</v>
          </cell>
        </row>
        <row r="54">
          <cell r="F54" t="str">
            <v xml:space="preserve"> No, there is no demographic information about the team who annotate the data.</v>
          </cell>
          <cell r="H54" t="str">
            <v>No</v>
          </cell>
        </row>
        <row r="55">
          <cell r="F55" t="str">
            <v xml:space="preserve"> LabelStudio 5 was used to annotate the dataset.</v>
          </cell>
          <cell r="H55" t="str">
            <v>LabelStudio 5</v>
          </cell>
        </row>
        <row r="56">
          <cell r="F56" t="str">
            <v xml:space="preserve"> Five machine-learning models, including Naïve Bayes (NB), K-Nearest Neighbor (KNN), Decision Tree (DT), Support Vector Machine (SVM), and Random Forest (RF), were implemented using sklearn 7 with default parameters. Meanwhile, four deep learning models, including Gated Recurrent Unit (GRU), Bidirectional GRU (BiGRU), Long Short-Term Memory (LSTM), and Bidirectional LSTM (BiLSTM), were applied using Keras 8 and adopted modest neural network architecture. The study applied Word2Vec as a word-embedding model as text representations for machine learning and deep learning models. We used pre-trained word embeddings that trained on 467,000 documents of Indonesian Wikipedia for 300-dimensional word representation. Each model was evaluated using 5-fold cross-validation to use 80% for learning and 20% of labeled data for testing the model. Cohen's kappa coefficient for stance and Krippendorff's Alpha of 0.5187 for the aspect-based sentiment label were also calculated to evaluate the agreement between analysts.</v>
          </cell>
          <cell r="H56" t="str">
            <v>Five machine learning and four sequential-based deep learning models</v>
          </cell>
        </row>
        <row r="74">
          <cell r="F74" t="str">
            <v xml:space="preserve"> Lemmatization is a process of reducing words to their base form. It is used to reduce inflectional forms of a word to a common base form. It is commonly used in natural language processing to reduce words to their dictionary form. It is used to reduce the complexity of language and to make it easier to process.</v>
          </cell>
        </row>
        <row r="75">
          <cell r="F75" t="str">
            <v xml:space="preserve"> Data Normalization</v>
          </cell>
        </row>
        <row r="76">
          <cell r="F76" t="str">
            <v>Stopword Removal</v>
          </cell>
        </row>
        <row r="82">
          <cell r="F82" t="str">
            <v xml:space="preserve"> No, the authors declared that they have no known competing financial interests or personal relationships that could have appeared to influence the work reported in this paper. The authors also used a majority voting strategy for the final class label and calculated Cohen's kappa coefficient for stance and aspect-based sentiment labels to evaluate the agreement between analysts.</v>
          </cell>
          <cell r="H82" t="str">
            <v>The authors declare that they have no known competing financial interests or personal relationships that could have appeared to influence the work reported in this paper.</v>
          </cell>
        </row>
        <row r="86">
          <cell r="F86" t="str">
            <v xml:space="preserve"> No, the data was collected and distributed under the Twitter developer policy 2022 and followed its regulations. The authors also declared that they have no known competing financial interests or personal relationships that could have appeared to influence the work reported in this paper. The data was also collected and processed to ensure anonymity and protect Twitter users.</v>
          </cell>
          <cell r="H86" t="str">
            <v>Our data were collected, scraped, and distributed under the Twitter developer policy 2022 and followed its regulations</v>
          </cell>
        </row>
      </sheetData>
      <sheetData sheetId="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high"/>
      <sheetName val="Results-low"/>
    </sheetNames>
    <sheetDataSet>
      <sheetData sheetId="0"/>
      <sheetData sheetId="1">
        <row r="2">
          <cell r="F2" t="str">
            <v xml:space="preserve"> The purposes of the DeepLontar dataset for handwritten Balinese character detection and syllable recognition on Lontar manuscript dataset are to train and evaluate performance in character detection and syllable recognition of new manuscripts, to store various important information in ancient times, to recognize syllables by combining each character by applying special rules, and to be read and translated by experts.</v>
          </cell>
          <cell r="G2" t="str">
            <v>DeepLontar dataset for handwritten Balinese character detection and syllable recognition on Lontar manuscript</v>
          </cell>
        </row>
        <row r="3">
          <cell r="F3" t="str">
            <v xml:space="preserve"> object-detection, token-classification, and syllable-recognition</v>
          </cell>
          <cell r="G3" t="str">
            <v>character detection and syllable recognition</v>
          </cell>
        </row>
        <row r="4">
          <cell r="F4" t="str">
            <v xml:space="preserve"> Balinese Lontar manuscript, digitization, computer vision, data collection, data annotation, YOLO format, character detection, character recognition, syllable recognition, word recognition, data augmentation, LabelImg, deep learning architecture.</v>
          </cell>
          <cell r="G4" t="str">
            <v>adapative gaussian thresholding, grayscale augmentation, image annotation, lontar manuscript, syllable recognition, yolo</v>
          </cell>
        </row>
        <row r="5">
          <cell r="F5" t="str">
            <v xml:space="preserve"> The DeepLontar dataset intends to fill gaps in data collection, data generation, annotations, and character classes.</v>
          </cell>
          <cell r="G5" t="str">
            <v>Balinese Lontar publicly available datasets are available on a very limited basis. Therefore, related research has been carried out for assembling datasets for Balinese Lontar manuscripts.</v>
          </cell>
        </row>
        <row r="7">
          <cell r="F7" t="str">
            <v xml:space="preserve"> The DeepLontar dataset can be used to train and evaluate performance in character detection and syllable recognition of new manuscripts. The images data are available at Figshare repository15 and data augmentation code are available using OpenCV library. Data annotation tool using LabelImg is available online16.</v>
          </cell>
          <cell r="G7" t="str">
            <v>Balinese character detection and syllable recognition</v>
          </cell>
        </row>
        <row r="8">
          <cell r="F8" t="str">
            <v xml:space="preserve"> No, there is no non-recommended application for the DeepLontar dataset.</v>
          </cell>
          <cell r="G8" t="str">
            <v>no</v>
          </cell>
        </row>
        <row r="9">
          <cell r="F9" t="str">
            <v xml:space="preserve"> YOLO</v>
          </cell>
          <cell r="G9" t="str">
            <v xml:space="preserve"> YOLOv4: mean average precision (mAP) of up to 99.55% with precision, recall, and F1-score are 99%, 100%, and 99%, respectively</v>
          </cell>
        </row>
        <row r="11">
          <cell r="F11" t="str">
            <v xml:space="preserve"> Daniel Siahaan, Ni Putu Sutramiani, Nanik Suciati, I Nengah Duija, and I Wayan Agus Surya Darma.</v>
          </cell>
          <cell r="G11" t="str">
            <v>Daniel Siahaan , Ni Putu Sutramiani, Nanik Suciati, I Nengah Duija, I Wayan Agus Surya Darma</v>
          </cell>
        </row>
        <row r="12">
          <cell r="F12" t="str">
            <v xml:space="preserve"> The Directorate General of Higher Education, Ministry of Education and Culture Republic of Indonesia</v>
          </cell>
          <cell r="G12" t="str">
            <v>The study is supported by the Directorate General of Higher Education, Ministry of Education and Culture Republic of Indonesia under grant number 1564/PKS/ITS/2022.</v>
          </cell>
        </row>
        <row r="13">
          <cell r="F13" t="str">
            <v xml:space="preserve"> Public</v>
          </cell>
          <cell r="G13" t="str">
            <v>public</v>
          </cell>
        </row>
        <row r="14">
          <cell r="G14" t="str">
            <v>1564/PKS/ITS/2022</v>
          </cell>
        </row>
        <row r="15">
          <cell r="F15" t="str">
            <v xml:space="preserve"> 1564/PKS/ITS/2022</v>
          </cell>
          <cell r="G15" t="str">
            <v>Daniel Siahaan , Ni Putu Sutramiani, Nanik Suciati, I Nengah Duija, I Wayan Agus Surya Darma</v>
          </cell>
        </row>
        <row r="16">
          <cell r="F16" t="str">
            <v xml:space="preserve"> Daniel Siahaan, Ni Putu Sutramiani, Nanik Suciati, I Nengah Duija, and I Wayan Agus Surya Darma are the maintainers of the DeepLontar dataset for handwritten Balinese character detection and syllable recognition on Lontar manuscript dataset.</v>
          </cell>
          <cell r="G16" t="str">
            <v>no</v>
          </cell>
        </row>
        <row r="17">
          <cell r="F17" t="str">
            <v xml:space="preserve"> The DeepLontar dataset is freely accessible to researchers at Figshare15. The images data are available at Figshare repository15 and data augmentation code are available using OpenCV library. Data annotation tool using LabelImg is available online16.</v>
          </cell>
          <cell r="G17" t="str">
            <v>no</v>
          </cell>
        </row>
        <row r="18">
          <cell r="F18" t="str">
            <v xml:space="preserve"> No, there is no data retention limit in the DeepLontar dataset.</v>
          </cell>
          <cell r="G18" t="str">
            <v>no</v>
          </cell>
        </row>
        <row r="19">
          <cell r="F19" t="str">
            <v xml:space="preserve"> No, there is no data retention policy for the DeepLontar dataset.</v>
          </cell>
          <cell r="G19" t="str">
            <v>yes</v>
          </cell>
        </row>
        <row r="20">
          <cell r="F20" t="str">
            <v xml:space="preserve"> Yes, the data is available at Figshare repository15.</v>
          </cell>
        </row>
        <row r="21">
          <cell r="F21" t="str">
            <v xml:space="preserve"> The DeepLontar dataset is freely accessible to the researchers at Figshare15.</v>
          </cell>
          <cell r="G21" t="str">
            <v>Creative Commons Attribution 4.0 International License</v>
          </cell>
        </row>
        <row r="22">
          <cell r="F22" t="str">
            <v xml:space="preserve"> The DeepLontar dataset is freely accessible to researchers and is licensed under a Creative Commons Attribution 4.0 International License, which permits use, sharing, adaptation, distribution and reproduction in any medium or format, as long as appropriate credit is given to the original author(s) and the source.</v>
          </cell>
          <cell r="G22" t="str">
            <v>This article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v>
          </cell>
        </row>
        <row r="23">
          <cell r="F23" t="str">
            <v xml:space="preserve"> The models trained with this data have the right to be used, shared, adapted, distributed, and reproduced in any medium or format, as long as appropriate credit is given to the original author(s) and the source, a link to the Creative Commons license is provided, and any changes are indicated.</v>
          </cell>
          <cell r="G23" t="str">
            <v>This article is licensed under a Creative Commons Attribution 4.0 International License</v>
          </cell>
        </row>
        <row r="24">
          <cell r="F24" t="str">
            <v xml:space="preserve"> Yes, the authors of the dataset provide an attribution notice and credits in the Usage Notes section.</v>
          </cell>
          <cell r="G24" t="str">
            <v>This article is licensed under a Creative Commons Attribution 4.0 International License</v>
          </cell>
        </row>
        <row r="25">
          <cell r="G25" t="str">
            <v>No</v>
          </cell>
        </row>
        <row r="27">
          <cell r="G27" t="str">
            <v>.jpg, .txt</v>
          </cell>
        </row>
        <row r="28">
          <cell r="G28" t="str">
            <v>DeepLontar consisted of 600 images of Balinese Lontar manuscripts and additionally, 600 *.txt files that stored information related to data annotations in YOLO format.</v>
          </cell>
        </row>
        <row r="29">
          <cell r="F29" t="str">
            <v xml:space="preserve"> The DeepLontar dataset is composed of 600 JPEG images and 600 TXT annotation files. The JPEG images are named in the format &lt;filename&gt;.jpg, for example 1a.jpg. The TXT annotation files are named in the format &lt;filename&gt;.txt, for example 1a.txt. The annotation files follow the YOLO format, which includes an ID, x coordinate, y coordinate, width of the bounding box, and height of the bounding box.</v>
          </cell>
        </row>
        <row r="30">
          <cell r="G30" t="str">
            <v>DeepLontar consists of 55 Balinese character classes. These classes are used in writing Balinese script in Lontar Manuscripts. The entire vocabulary in the DeepLontar dataset uses these 55-character classes.</v>
          </cell>
        </row>
        <row r="31">
          <cell r="F31" t="str">
            <v xml:space="preserve"> The DeepLontar dataset consists of 600 images of Balinese Lontar manuscripts and 600 *.txt files that store information related to data annotations in YOLO format. The annotations consist of more than 100,000 characters that experts have validated. The annotation files follow the YOLO format, which includes an ID, x coordinate, y coordinate, width of the bounding box, and height of the bounding box. The dataset also includes 55 Balinese character classes.</v>
          </cell>
          <cell r="G31" t="str">
            <v xml:space="preserve"> </v>
          </cell>
        </row>
        <row r="33">
          <cell r="F33" t="str">
            <v xml:space="preserve"> No, the data does not have any explicit consistency rule.</v>
          </cell>
        </row>
        <row r="34">
          <cell r="F34" t="str">
            <v xml:space="preserve"> No, there is no recommended data split mentioned in the context.</v>
          </cell>
          <cell r="G34" t="str">
            <v>The original dataset was split into train and test data with distribution ratio of 60%:40%</v>
          </cell>
        </row>
        <row r="36">
          <cell r="F36" t="str">
            <v xml:space="preserve"> The data was collected from libraries at universities in Bali. Data generation was carried out to produce 400 augmented images from 200 Lontar original images to increase the variousness of data. Annotations were performed to label each character producing over 100,000 characters in 55 character classes.</v>
          </cell>
          <cell r="G36" t="str">
            <v>The process of compiling the dataset was carried out in four stages. Each stage was shown in Fig. 5, starting with data acquisition, data generation, data annotation, and validation. The first stage was data acquisition by scanning the Lontar manuscript using a scanner.</v>
          </cell>
        </row>
        <row r="37">
          <cell r="F37" t="str">
            <v xml:space="preserve"> Others</v>
          </cell>
          <cell r="G37" t="str">
            <v>Document analysis</v>
          </cell>
        </row>
        <row r="38">
          <cell r="F38" t="str">
            <v xml:space="preserve"> The data was collected by scanning the Lontar manuscript using a scanner.</v>
          </cell>
          <cell r="G38" t="str">
            <v>7 July 2022; Accepted: 17 November 2022</v>
          </cell>
        </row>
        <row r="40">
          <cell r="F40" t="str">
            <v xml:space="preserve"> The data was collected from Lontar manuscripts.</v>
          </cell>
          <cell r="G40" t="str">
            <v>libraries at universities in Bali</v>
          </cell>
        </row>
        <row r="41">
          <cell r="G41" t="str">
            <v xml:space="preserve"> </v>
          </cell>
        </row>
        <row r="42">
          <cell r="F42" t="str">
            <v xml:space="preserve"> No, the data represents handwritten Balinese characters and syllables.</v>
          </cell>
          <cell r="G42" t="str">
            <v xml:space="preserve"> </v>
          </cell>
        </row>
        <row r="43">
          <cell r="F43" t="str">
            <v xml:space="preserve"> The source of the data is the Figshare repository.</v>
          </cell>
          <cell r="G43" t="str">
            <v>Lontar manuscripts</v>
          </cell>
        </row>
        <row r="44">
          <cell r="F44" t="str">
            <v xml:space="preserve"> The data source is Figshare.</v>
          </cell>
          <cell r="G44" t="str">
            <v>a scanner</v>
          </cell>
        </row>
        <row r="45">
          <cell r="F45" t="str">
            <v xml:space="preserve"> It depends on the data set. Figshare is a reliable source, but it's important to check the data set for any noise or potential bias. That Figshare is a reliable source has nothing to do with this work.</v>
          </cell>
        </row>
        <row r="46">
          <cell r="F46" t="str">
            <v xml:space="preserve"> I'm not sure, you may need to contact the source to find out.</v>
          </cell>
        </row>
        <row r="47">
          <cell r="F47" t="str">
            <v xml:space="preserve"> The data was gathered by scanning the Lontar manuscript using a scanner.</v>
          </cell>
          <cell r="G47" t="str">
            <v>Daniel Siahaan , Ni Putu Sutramiani, Nanik Suciati, I Nengah Duija, I Wayan Agus Surya Darma</v>
          </cell>
        </row>
        <row r="48">
          <cell r="F48" t="str">
            <v xml:space="preserve"> An internal team.</v>
          </cell>
          <cell r="G48" t="str">
            <v>an internal team</v>
          </cell>
        </row>
        <row r="49">
          <cell r="F49" t="str">
            <v xml:space="preserve"> No, there is no demographic information of an internal team.</v>
          </cell>
          <cell r="G49" t="str">
            <v>No</v>
          </cell>
        </row>
        <row r="51">
          <cell r="F51" t="str">
            <v xml:space="preserve"> The data of the DeepLontar dataset has been annotated or labelled using the LabelImg application. The Balinese character annotations were validated by experts and stored in YOLO format, which includes the object class ID, x coordinate, y coordinate, width of the bounding box, and height of the bounding box.</v>
          </cell>
          <cell r="G51" t="str">
            <v>Image annotation was done to label the image, which was used as ground truth. The bounding box was used to annotate each character. This process was carried out by a team and accompanied by experts. Character annotations produced 102,966 characters came from 55 character classes.</v>
          </cell>
        </row>
        <row r="52">
          <cell r="F52" t="str">
            <v xml:space="preserve"> Bounding boxes</v>
          </cell>
          <cell r="G52" t="str">
            <v>Bounding boxes</v>
          </cell>
        </row>
        <row r="53">
          <cell r="F53" t="str">
            <v xml:space="preserve">
The labels of the DeepLontar dataset are 55 Balinese character classes. Table 1 in the context provides a list of the character classes and a description of each one.</v>
          </cell>
          <cell r="G53" t="str">
            <v>DeepLontar consists of 55 Balinese character classes. These classes are used in writing Balinese script in Lontar Manuscripts. The entire vocabulary in the DeepLontar dataset uses these 55-character classes.</v>
          </cell>
        </row>
        <row r="54">
          <cell r="F54" t="str">
            <v xml:space="preserve"> A team of experts and researchers.</v>
          </cell>
          <cell r="G54" t="str">
            <v>a team and accompanied by experts</v>
          </cell>
        </row>
        <row r="55">
          <cell r="F55" t="str">
            <v xml:space="preserve"> An internal team and experts.</v>
          </cell>
          <cell r="G55" t="str">
            <v>an internal team</v>
          </cell>
        </row>
        <row r="56">
          <cell r="F56" t="str">
            <v xml:space="preserve"> No, there is no demographic information about the team who annotate the data.</v>
          </cell>
          <cell r="G56" t="str">
            <v>No</v>
          </cell>
        </row>
        <row r="57">
          <cell r="F57" t="str">
            <v xml:space="preserve"> LabelImg</v>
          </cell>
          <cell r="G57" t="str">
            <v>LabelImg</v>
          </cell>
        </row>
        <row r="58">
          <cell r="F58" t="str">
            <v xml:space="preserve"> Validation by experts and testing using YOLO.</v>
          </cell>
          <cell r="G58" t="str">
            <v>Validation by experts was carried out when making ground truth of Balinese characters in Lontar manuscripts. The second validation was a trial with detecting and recognizing Balinese characters using YOLO.</v>
          </cell>
        </row>
        <row r="69">
          <cell r="F69" t="str">
            <v xml:space="preserve"> No, the data was validated by experts and tested using a deep learning method, YOLO, to ensure accuracy and fairness.</v>
          </cell>
        </row>
        <row r="70">
          <cell r="F70" t="str">
            <v xml:space="preserve"> No, there are no social groups that could be misrepresented in the dataset.</v>
          </cell>
        </row>
        <row r="71">
          <cell r="F71" t="str">
            <v xml:space="preserve"> No, there are no sensitive data or data that can be offensive for people in the dataset.</v>
          </cell>
        </row>
        <row r="72">
          <cell r="F72" t="str">
            <v xml:space="preserve"> No, there are no privacy issues on the data.</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formatted"/>
      <sheetName val="Results-raw"/>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
      <sheetName val="Results-high"/>
      <sheetName val="Results-low"/>
    </sheetNames>
    <sheetDataSet>
      <sheetData sheetId="0"/>
      <sheetData sheetId="1"/>
      <sheetData sheetId="2">
        <row r="2">
          <cell r="G2" t="str">
            <v xml:space="preserve"> The purpose of the dataset is to provide an annotated, publicly available dataset of PET/CT images that enables technical and clinical research in the area of machine learning-based analysis of PET/CT studies and to demonstrate a use case of deep learning-based automated segmentation of tumor lesions.</v>
          </cell>
          <cell r="I2" t="str">
            <v>The dataset provides images and associated clinical information for the purpose of training and evaluating automated methods for detecting and characterizing lesions in PET-CT scans.</v>
          </cell>
          <cell r="J2" t="str">
            <v>to provide an annotated, publicly available dataset of PET/CT images that enables technical and clinical research in the area of machine learning-based analysis of PET/CT studies and to demonstrate a use case of deep learning-based automated segmentation of tumor lesions</v>
          </cell>
        </row>
        <row r="3">
          <cell r="G3" t="str">
            <v xml:space="preserve"> image-segmentation, classification, object-detection, data-to-text, feature-extraction</v>
          </cell>
          <cell r="I3" t="str">
            <v xml:space="preserve"> Tasks like text generation, text mining, classification etc.</v>
          </cell>
          <cell r="J3" t="str">
            <v>image-segmentation</v>
          </cell>
        </row>
        <row r="4">
          <cell r="G4" t="str">
            <v xml:space="preserve"> PET/CT, DICOM, NIfTI, SUV, TCIA, FDG-PET-CT-Lesions, manual tumor segmentation, lung cancer, lymphoma, melanoma, automated lesion segmentation, deep learning, machine learning, quantitative analysis, medical imaging, image analysis.</v>
          </cell>
          <cell r="I4" t="str">
            <v>lung cancer, lymphoma, melanoma</v>
          </cell>
          <cell r="J4" t="str">
            <v>fdg-pet-ct-lesions, positron-emission-tomography, positron-emission-tomography-computed-tomography, positron-emission-tomography-computed-tomography-dataset, positron-emission-tomography-computed-tomography-dataset, positron-emission-tomography-computed-tomography-dataset, positron-emission-tomography-computed-to</v>
          </cell>
        </row>
        <row r="5">
          <cell r="G5" t="str">
            <v xml:space="preserve"> The dataset is intended to help develop and validate algorithms for PET/CT analysis, such as automated lesion segmentation, automated organ segmentation, and automated lesion tracking.</v>
          </cell>
          <cell r="I5" t="str">
            <v>The dataset intends to provide a large-scale dataset containing whole body FDG-PET/CT images and accompanying clinical information for the purposes of developing algorithms for automated detection and quantification of tumors in PET/CT scans. It will also enable research into new methods for diagnosis and treatment of various diseases through comparison of imaging features between healthy individuals and those suffering from certain conditions.</v>
          </cell>
          <cell r="J5" t="str">
            <v>This dataset can thus contribute to the development of increasingly accurate, robust and clinically useful algorithms for PET/CT analysis.</v>
          </cell>
        </row>
        <row r="7">
          <cell r="G7" t="str">
            <v xml:space="preserve"> The dataset is recommended for the development and evaluation of machine learning methods for PET/CT analysis, as well as for clinical research regarding the included tumor entities. It can be used for deep learning-based automated analysis of PET/CT data, such as automated lesion segmentation, automated organ segmentation, or automated lesion tracking.</v>
          </cell>
          <cell r="I7" t="str">
            <v>The dataset is suitable for research into machine learning-based automated analysis of PET/CT data, including but not limited to detecting and segmenting metabolically active lesions in PET/CT studies of patients with lymphoma, melanoma and NSCLC. It could also be used for developing new techniques for automatic labeling of PET/CT studies, evaluating existing and future deep learning models for PET/CT analysis, and training other types of computer vision algorithms for medical image analysis tasks</v>
          </cell>
          <cell r="J7" t="str">
            <v>automated organ segmentation or automated lesion tracking</v>
          </cell>
        </row>
        <row r="8">
          <cell r="G8" t="str">
            <v xml:space="preserve"> No.</v>
          </cell>
          <cell r="I8" t="str">
            <v>No</v>
          </cell>
          <cell r="J8" t="str">
            <v>no</v>
          </cell>
        </row>
        <row r="9">
          <cell r="G9" t="str">
            <v xml:space="preserve"> The model used to test the dataset is nnUNet13.  The model used to test the dataset is nnUNet13. The metrics extracted with this model are Dice score, false positive volume and false negative volume. The mean Dice score of automated compared to manual lesion segmentation was 0.73 (±0.23) on positive datasets. Mean false positive/false negative volumes were 8.1 (±81.4) ml/15.1 (±80.3) ml respectively.</v>
          </cell>
          <cell r="I9" t="str">
            <v>The models used for testing the dataset include U-Net, DeepMix, and ResUNet.  The F1 Score, accuracy, precision, recall and other metrics extracted with the model depend on the type of task being tested. For instance, if the task involves classification then the metrics will be different than when the task involves regression. Additionally, depending on the model used, some metrics may be more relevant than others. For example, U-Net typically focuses on the Dice coefficient whereas DeepMix and ResUNet focus on the F1 scor</v>
          </cell>
          <cell r="J9" t="str">
            <v>nnUNet13, Dice score, false positive volume and false negative volume</v>
          </cell>
        </row>
        <row r="10">
          <cell r="G10" t="str">
            <v xml:space="preserve"> Sergios Gatidis, Tobias Hepp, Marcel Früh, Christian La Fougère, Konstantin Nikolaou, Christina Pfannenberg, Bernhard Schölkopf, Thomas Küstner, Clemens Cyran, Daniel Rubin</v>
          </cell>
          <cell r="I10" t="str">
            <v>Whole Body FDG-PET/CT Dataset" was created by Sergios Gatidis, Tobias Hepp, Marcel Früh, Christian La Fougère, Konstantin Nikolaou, Christina Pfannenberg, Bernhard Schölkopf, Thomas Küstner, Clemens Cyran and Daniel Rubin.</v>
          </cell>
          <cell r="J10" t="str">
            <v>Sergios Gatidis, Tobias Hepp1, Marcel Früh, Christian La Fougère, Konstantin Nikolaou, Christina Pfannenberg, Bernhard Schölkopf, Thomas Küstner, Clemens Cyran &amp; Daniel Rubin</v>
          </cell>
        </row>
        <row r="11">
          <cell r="G11" t="str">
            <v xml:space="preserve"> Yes, this project was partly supported by intramural grants of Stanford University and the University of Tübingen. It was also conducted under Germany’s Excellence Strategy–EXC-Number 2064/1–390727645 and EXC 2180/1-390900677.</v>
          </cell>
          <cell r="I11" t="str">
            <v xml:space="preserve"> Yes, the dataset was created as part of the AutoPET Challenge 2022, which was sponsored by the German Federal Ministry of Education and Research (BMBF), the European Union’s Horizon 2020 research and innovation program, and other organizations.</v>
          </cell>
          <cell r="J11" t="str">
            <v>This project was partly supported by intramural grants of Stanford University and the University of Tübingen.</v>
          </cell>
        </row>
        <row r="12">
          <cell r="G12" t="str">
            <v xml:space="preserve"> Unknown</v>
          </cell>
          <cell r="I12" t="str">
            <v xml:space="preserve"> The dataset was created as part of the AutoPET Challenge 2022, which was sponsored by the German Federal Ministry of Education and Research (BMBF), the European Union’s Horizon 2020 research and innovation program, and other organizations.</v>
          </cell>
          <cell r="J12" t="str">
            <v>public</v>
          </cell>
        </row>
        <row r="13">
          <cell r="G13" t="str">
            <v xml:space="preserve"> Not provided.</v>
          </cell>
          <cell r="I13" t="str">
            <v xml:space="preserve"> No, there is no specific grant ID provided.</v>
          </cell>
          <cell r="J13" t="str">
            <v>not provided</v>
          </cell>
        </row>
        <row r="14">
          <cell r="G14" t="str">
            <v xml:space="preserve"> S.G., D.R., T.K., T.H., K.N., C.L.F., M.F., C.P., B.S., C.C.</v>
          </cell>
          <cell r="I14" t="str">
            <v>The dataset is maintained by Sergios Gatidis, Tobias Hepp, Marcel Früh, Christian La Fougère, Konstantin Nikolaou, Christina Pfannenberg, Bernhard Schölkopf, Thomas Küstner, Clemens Cyran and Daniel Rubin.</v>
          </cell>
          <cell r="J14" t="str">
            <v>Sergios Gatidis, Tobias Hepp1 Marcel Früh, Christian La Fougère, Konstantin Nikolaou Christina Pfannenberg, Bernhard Schölkopf, Thomas Küstner, Clemens Cyran &amp; Daniel Rubin</v>
          </cell>
        </row>
        <row r="15">
          <cell r="G15" t="str">
            <v xml:space="preserve"> No.</v>
          </cell>
          <cell r="I15" t="str">
            <v xml:space="preserve"> The dataset should be cited according to the standards of the corresponding field. It would also be helpful if users could provide citations to any relevant papers which use the dataset. Additionally, users may contribute additional documentation such as tutorials or example code which demonstrate how to use the dataset effectively.</v>
          </cell>
          <cell r="J15" t="str">
            <v>age &gt;18 years, histologically confirmed diagnosis of lung cancer, lymphoma or malignant melanoma, and presence of at least one FDG-avid tumor lesion according to the final clinical report</v>
          </cell>
        </row>
        <row r="16">
          <cell r="G16" t="str">
            <v xml:space="preserve"> No.</v>
          </cell>
          <cell r="I16" t="str">
            <v>No, there is no specific grant ID provided.</v>
          </cell>
          <cell r="J16" t="str">
            <v>no</v>
          </cell>
        </row>
        <row r="17">
          <cell r="G17" t="str">
            <v xml:space="preserve"> No.</v>
          </cell>
          <cell r="I17" t="str">
            <v>No, the dataset was created as part of the AutoPET Challenge 2022, which was sponsored by the German Federal Ministry of Education and Research (BMBF), the European Union’s Horizon 2020 research and innovation program, and other organizations.</v>
          </cell>
          <cell r="J17" t="str">
            <v>no</v>
          </cell>
        </row>
        <row r="18">
          <cell r="G18" t="str">
            <v xml:space="preserve"> Yes, the data is available under https://github.com/lab-midas/TCIA processing.</v>
          </cell>
          <cell r="I18" t="str">
            <v>No, the dataset was created as part of the AutoPET Challenge 2022, which was sponsored by the German Federal Ministry of Education and Research (BMBF), the European Union’s Horizon 2020 research and innovation program, and other organizations.</v>
          </cell>
          <cell r="J18" t="str">
            <v>This dataset can be accessed on The Cancer Imaging Archive (TCIA) under the collection name “FDG-PET-CT-Lesions”12.</v>
          </cell>
        </row>
        <row r="19">
          <cell r="G19" t="str">
            <v xml:space="preserve"> No.</v>
          </cell>
          <cell r="I19" t="str">
            <v>No, it wasn't provided.</v>
          </cell>
          <cell r="J19" t="str">
            <v>CC-BY-NC-ND 4.0</v>
          </cell>
        </row>
        <row r="21">
          <cell r="G21" t="str">
            <v xml:space="preserve"> The trained PET/CT lesion segmentation model is publicly available under https://github.com/labmidas/autoPET/tree/master/.</v>
          </cell>
          <cell r="I21" t="str">
            <v>No, it wasn't provided.</v>
          </cell>
          <cell r="J21" t="str">
            <v>publicly available under https://github.com/labmidas/autoPET/tree/master/</v>
          </cell>
        </row>
        <row r="22">
          <cell r="G22" t="str">
            <v xml:space="preserve"> Yes, the authors provide an acknowledgement that should be used when using the dataset. It is: "This project was partly supported by intramural grants of Stanford University and the University of Tübingen. This project was conducted under Germany’s Excellence Strategy–EXC-Number 2064/1–390727645 and EXC 2180/1-390900677."</v>
          </cell>
          <cell r="I22" t="str">
            <v>No, it wasn't specified.</v>
          </cell>
          <cell r="J22" t="str">
            <v>No</v>
          </cell>
        </row>
        <row r="23">
          <cell r="G23" t="str">
            <v xml:space="preserve"> No, the dataset is publicly available on The Cancer Imaging Archive (TCIA) under the collection name “FDG-PET-CT-Lesions” and does not require a license or distribution from third parties.</v>
          </cell>
          <cell r="I23" t="str">
            <v>No, it wasn't specified.</v>
          </cell>
          <cell r="J23" t="str">
            <v>no</v>
          </cell>
        </row>
        <row r="24">
          <cell r="G24" t="str">
            <v xml:space="preserve"> The dataset is available on The Cancer Imaging Archive (TCIA) under the collection name “FDG-PET-CT-Lesions”12. The license and distribution terms of the dataset are available on the TCIA website.</v>
          </cell>
          <cell r="I24" t="str">
            <v>No, it wasn't specified.</v>
          </cell>
          <cell r="J24" t="str">
            <v>No</v>
          </cell>
        </row>
        <row r="27">
          <cell r="G27" t="str">
            <v xml:space="preserve"> The dataset is composed of DICOM files of the PET volume, the CT volume and the segmentation mask, as well as NIfTI files of the PET volume (PET.nii.gz), the CT volume (CT.nii.gz) and the segmentation mask (SEG.nii.gz), NIfTI volumes of the PET image in SUV units (SUV.nii.gz) and a CT volume resample to the PET resolution and shape (CTres.nii.gz). In addition, a metadata file in Comma-separated Values (csv) format is provided containing information on study class, patient age and patient sex.</v>
          </cell>
          <cell r="I27" t="str">
            <v>The dataset is composed of two types of files - DICOM images and Nifti files. A DICOM image is a standard medical image format used for storing and sharing scans from medical imaging devices like CT and PET scanners. It stores the raw scan data along with associated meta-data such as patient details, scan parameters etc. A NIFTI file is another type of medical image format which is commonly used for storing and sharing brain scans. It is a compressed version of the original DICOM image and is typically much smaller than the uncompressed DICOM image.</v>
          </cell>
          <cell r="J27" t="str">
            <v>DICOM data: Each study folder contains three subfolders with DICOM files of the PET volume, the CT volume and the segmentation mask.</v>
          </cell>
        </row>
        <row r="28">
          <cell r="G28" t="str">
            <v xml:space="preserve"> The dataset contains imaging data, patient age (in years), patient sex, patient body weight, injected activity, whether CT was contrast-enhanced, primary diagnosis, and non-imaging information.</v>
          </cell>
          <cell r="I28" t="str">
            <v>The dataset contains patients’ demographic information including age, gender, and body mass index; images of the whole-body CT scan, whole-body FDG-PET scan, and corresponding segmentation mask; and quantitative evaluation results such as Dice coefficient, false positives, and false negatives.</v>
          </cell>
          <cell r="J28" t="str">
            <v>Metadata: In addition to imaging data, a metadata file in Comma-separated Values (csv format is provided containing information on study class (lung cancer, melanoma, lymphoma or negative), patient age (in years) and patient sex. In addition, the DICOM header data include information about patient body weight, injected activity and whether CT was contrast-enhanced (in case of non-enhanced CT, the CT series description includes the key word “nativ”).</v>
          </cell>
        </row>
        <row r="30">
          <cell r="G30" t="str">
            <v xml:space="preserve"> No, there is no explicit consistency rule for the data.</v>
          </cell>
          <cell r="I30" t="str">
            <v xml:space="preserve"> Yes, the data follows certain standards regarding its formatting and organization which ensure consistent behavior when working with it. These standards are outlined in the "Data Structure" section above.</v>
          </cell>
          <cell r="J30" t="str">
            <v>No</v>
          </cell>
        </row>
        <row r="31">
          <cell r="G31" t="str">
            <v xml:space="preserve"> No, the paper does not mention any recommended data split of the dataset.</v>
          </cell>
          <cell r="I31" t="str">
            <v xml:space="preserve"> Yes, the paper recommends splitting the dataset into train, validation and test sets with a ratio of 6:2:2.</v>
          </cell>
          <cell r="J31" t="str">
            <v>Not mentioned</v>
          </cell>
        </row>
        <row r="33">
          <cell r="G33" t="str">
            <v xml:space="preserve"> The dataset consists of 1014 whole body Fluorodeoxyglucose (FDG)-PET/CT datasets acquired between 2014 and 2018 on a single, state-of-the-art PET/CT scanner. The imaging protocol consisted of a whole-body FDG-PET acquisition and a corresponding diagnostic CT scan. Primary diagnosis, age and sex are provided as non-imaging information. The data was anonymized upon data upload to The Cancer Imaging Archive using the CTP DICOM anonymizer tool.</v>
          </cell>
          <cell r="I33" t="str">
            <v>The data was collected through a retrospective study involving 1014 whole-body FDG-PET/CT datasets of patients with malignant lymphoma, melanoma and non small cell lung cancer (NSCLC), as well as 513 studies without PET-positive malignant lesions (negative controls).</v>
          </cell>
          <cell r="J33" t="str">
            <v>The data presented in this manuscript is part of the MICCAI autoPET challenge 2022</v>
          </cell>
        </row>
        <row r="34">
          <cell r="G34" t="str">
            <v xml:space="preserve"> Secondary data analysis</v>
          </cell>
          <cell r="I34" t="str">
            <v xml:space="preserve"> Others</v>
          </cell>
          <cell r="J34" t="str">
            <v>Manual Human Curator</v>
          </cell>
        </row>
        <row r="35">
          <cell r="G35" t="str">
            <v xml:space="preserve"> 2014-2018</v>
          </cell>
          <cell r="I35" t="str">
            <v xml:space="preserve"> The data was collected between January 1 and December 31 of last year. There was no specific time frame designated for data collection.</v>
          </cell>
          <cell r="J35" t="str">
            <v>between 2014 and 2018</v>
          </cell>
        </row>
        <row r="37">
          <cell r="G37" t="str">
            <v xml:space="preserve"> Not provided</v>
          </cell>
          <cell r="I37" t="str">
            <v>No, the data does not represent nor consist of any natural language.</v>
          </cell>
          <cell r="J37" t="str">
            <v>The Cancer Imaging Archive (TCIA)</v>
          </cell>
        </row>
        <row r="39">
          <cell r="G39" t="str">
            <v xml:space="preserve"> No</v>
          </cell>
          <cell r="I39" t="str">
            <v xml:space="preserve"> The dataset used for the MICCAI autoPET challenge 2022 is called "MICCAI AutoPET Challenge 2022 Dataset".</v>
          </cell>
          <cell r="J39" t="str">
            <v>No</v>
          </cell>
        </row>
        <row r="40">
          <cell r="G40" t="str">
            <v xml:space="preserve"> The data has been collected from a prospective registry study conducted at the Medical Faculty of the University of Tübingen. The study included 1,014 whole-body FDG-PET/CT examinations of 900 patients acquired between 2014 and 2018.</v>
          </cell>
          <cell r="I40" t="str">
            <v>No, there are no known issues with the data source and it has been widely used in previous studies.</v>
          </cell>
          <cell r="J40" t="str">
            <v>not provided</v>
          </cell>
        </row>
        <row r="41">
          <cell r="G41" t="str">
            <v xml:space="preserve"> The data source is the prospective registry study conducted at the Medical Faculty of the University of Tübingen.</v>
          </cell>
          <cell r="I41" t="str">
            <v xml:space="preserve"> Yes, the data source can be accessed through a web-based interface or via an API.</v>
          </cell>
          <cell r="J41" t="str">
            <v>MICCAI autoPET challenge 2022</v>
          </cell>
        </row>
        <row r="42">
          <cell r="G42" t="str">
            <v xml:space="preserve"> It is possible that there is noise or potential bias in the data source, as with any study. However, without further information it is not possible to determine if this is the case.</v>
          </cell>
          <cell r="I42" t="str">
            <v>The dataset was collected by a team of researchers led by Stephan Götzinger, David Rueckert, Tobias Kohlmann, Thomas Hackl and Karsten Niemann.</v>
          </cell>
          <cell r="J42" t="str">
            <v>I don't know</v>
          </cell>
        </row>
        <row r="43">
          <cell r="G43" t="str">
            <v xml:space="preserve"> No, without further information it is not possible to determine if there is a link to access the data source.</v>
          </cell>
          <cell r="I43" t="str">
            <v>The data was collected by an internal team.</v>
          </cell>
          <cell r="J43" t="str">
            <v>not provided</v>
          </cell>
        </row>
        <row r="44">
          <cell r="G44" t="str">
            <v xml:space="preserve"> S.G., D.R., T.K., T.H., K.N., C.L.F., M.F., C.P., B.S., C.C.</v>
          </cell>
          <cell r="I44" t="str">
            <v>No, there are no demographic information associated with the data.</v>
          </cell>
          <cell r="J44" t="str">
            <v>S.G., D.R., T.K., T.H.: conception and design of the work, acquisition, analysis and interpretation of data, creation of new software used in the work, drafting of the manuscript. K.N., C.L.F., M.F., C.P., B.S., C.C.: discussion and interpretation of results, substantial revision of the manuscript. All authors reviewed the manuscript.</v>
          </cell>
        </row>
        <row r="45">
          <cell r="G45" t="str">
            <v xml:space="preserve"> An internal team.</v>
          </cell>
          <cell r="I45" t="str">
            <v>The data acquisition process involved several steps including obtaining informed consent from participants, performing preclinical testing, collecting relevant demographic information, conducting the actual experiment, and completing post-experiment procedures. Additionally, certain criteria must be fulfilled before data can be deemed suitable for analysis such as ensuring the safety of participants, adherence to protocols, and accuracy of data recording.</v>
          </cell>
          <cell r="J45" t="str">
            <v>an internal team</v>
          </cell>
        </row>
        <row r="46">
          <cell r="G46" t="str">
            <v xml:space="preserve"> No, the provided context does not include any demographic information of an internal team.</v>
          </cell>
          <cell r="I46" t="str">
            <v>The data was annotated or labelled by a radiologist and nuclear medicine specialist in a clinical setting based on the report of their clinical assessment. They segmented FDG-avid tumour lesions (primary tumours if present and metastases if present) using dedicated software and an experienced radiologist with 10 years of experience in hybrid imaging. Uncertainty regarding lesion definition was resolved through consensus reviews with the radiologist and nuclear medicine physician preparing the initial clinical report.</v>
          </cell>
          <cell r="J46" t="str">
            <v>No</v>
          </cell>
        </row>
        <row r="48">
          <cell r="G48" t="str">
            <v xml:space="preserve"> The data was annotated by an experienced radiologist (S.G., 10 years of experience in hybrid imaging) using dedicated software (NORA image analysis platform, University of Freiburg, Germany). In case of uncertainty regarding lesion definition, the specific PET/CT studies were reviewed in consensus with the radiologist and nuclear medicine physician who prepared the initial clinical report. To this end CT and corresponding PET volumes were displayed side by side or as an overlay and tumor lesions showing elevated FDG-uptake (visually above blood-pool levels) were segmented in a slice-per-slice manner resulting in 3D binary segmentation masks.</v>
          </cell>
          <cell r="I48" t="str">
            <v>The dataset has been labelled for lung cancer, melanoma, lymphoma and negative cases.</v>
          </cell>
          <cell r="J48" t="str">
            <v>All examinations were assessed by a radiologist and nuclear medicine specialist in a clinical setting. Based on the report of this clinical assessment, all FDG-avid tumor lesions (primary tumor if present and metastases if present) were segmented by an experienced radiologist (S.G., 10 years of experience in hybrid imaging) using dedicated software (NORA image analysis platform, University of Freiburg, Germany). In case of uncertainty regarding lesion definition, the specific PET/CT studies were reviewed in consensus with the radiologist and nuclear medicine physician who prepared the initial clinical</v>
          </cell>
        </row>
        <row r="49">
          <cell r="G49" t="str">
            <v xml:space="preserve"> Polygonal segmentation</v>
          </cell>
          <cell r="I49" t="str">
            <v>The data annotation process was performed by an experienced radiologist (S.G.) and a nuclear medicine physician (T.K.).</v>
          </cell>
          <cell r="J49" t="str">
            <v>Polygonal segmentation</v>
          </cell>
        </row>
        <row r="51">
          <cell r="G51" t="str">
            <v xml:space="preserve"> An experienced radiologist (S.G., 10 years of experience in hybrid imaging) has annotated the data.</v>
          </cell>
          <cell r="I51" t="str">
            <v xml:space="preserve"> Yes, the team consists of four members - two research scientists, a senior research assistant and a postdoctoral fellow. They all have expertise in computer vision, machine learning and medical image processing.</v>
          </cell>
          <cell r="J51" t="str">
            <v>All examinations were assessed by a radiologist and nuclear medicine specialist in a clinical setting. Based on the report of this clinical assessment, all FDG-avid tumor lesions (primary tumor if present and metastases if present) were segmented by an experienced radiologist (S.G., 10 years of experience in hybrid imaging) using dedicated software (NORA image analysis platform, University of Freiburg, Germany).</v>
          </cell>
        </row>
        <row r="52">
          <cell r="G52" t="str">
            <v xml:space="preserve"> An internal team.</v>
          </cell>
          <cell r="I52" t="str">
            <v xml:space="preserve"> A radiologist and nuclear medicine specialist manually annotated the dataset using dedicated software (NORA image analysis platform, University of Freiburg, Germany).</v>
          </cell>
          <cell r="J52" t="str">
            <v>an internal team</v>
          </cell>
        </row>
        <row r="53">
          <cell r="G53" t="str">
            <v xml:space="preserve"> No, there is no demographic information about the team who annotated the data.</v>
          </cell>
          <cell r="I53" t="str">
            <v>The dataset has been validated through five-fold cross-validation and leave-one-out testing. Additionally</v>
          </cell>
          <cell r="J53" t="str">
            <v>No</v>
          </cell>
        </row>
        <row r="54">
          <cell r="G54" t="str">
            <v xml:space="preserve"> The dataset has been annotated using the NORA image analysis platform, University of Freiburg, Germany.</v>
          </cell>
          <cell r="J54" t="str">
            <v>NORA</v>
          </cell>
        </row>
        <row r="55">
          <cell r="G55" t="str">
            <v xml:space="preserve"> The dataset has been validated using three metrics: Dice score, false positive volume and false negative volume.</v>
          </cell>
          <cell r="I55" t="str">
            <v>Yes</v>
          </cell>
          <cell r="J55" t="str">
            <v>5-fold cross validation</v>
          </cell>
        </row>
        <row r="81">
          <cell r="G81" t="str">
            <v xml:space="preserve"> No, the dataset does not contain any social group information, so it is not possible to determine if any social group is misrepresented.</v>
          </cell>
          <cell r="J81" t="str">
            <v>The selection criteria for positive samples were: age &gt;18 years, histologically confirmed diagnosis of lung cancer, lymphoma or malignant melanoma, and presence of at least one FDG-avid tumor lesion according to the final clinical report.</v>
          </cell>
        </row>
        <row r="82">
          <cell r="G82" t="str">
            <v xml:space="preserve"> No, the dataset is balanced with respect to the three included tumor entities. The three included tumor entities showed similar distributions with respect to metabolic tumor volume (MTV), mean SUV of tumor lesions and total lesion glycolysis (TLG).</v>
          </cell>
          <cell r="J82" t="str">
            <v>Of the 501 positive studies, 168 were acquired in patients with lung cancer, 145 in patients with lymphoma and 188 in patients with melanoma.</v>
          </cell>
        </row>
        <row r="83">
          <cell r="G83" t="str">
            <v xml:space="preserve"> No, the dataset does not contain any sensitive data or data that can be offensive for people.</v>
          </cell>
          <cell r="J83" t="str">
            <v>xx xx xxxx</v>
          </cell>
        </row>
        <row r="84">
          <cell r="G84" t="str">
            <v xml:space="preserve"> The publication of anonymized data was approved by the institutional ethics committee of the Medical Faculty of the University of Tübingen as well as the institutional data security and privacy review board.</v>
          </cell>
          <cell r="J84" t="str">
            <v>Publication of anonymized data was approved by the institutional ethics committee of the Medical Faculty of the University of Tübingen as well as the institutional data security and privacy review board.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
      <sheetName val="Results-high"/>
      <sheetName val="Results-low"/>
    </sheetNames>
    <sheetDataSet>
      <sheetData sheetId="0"/>
      <sheetData sheetId="1"/>
      <sheetData sheetId="2">
        <row r="2">
          <cell r="F2" t="str">
            <v xml:space="preserve"> The purpose of the dataset is to fill the emotion recognition gap for Quechua speakers and to open the opportunity for new studies by providing a speech corpus of Quechua Collao for automatic emotion recognition and evaluating its usefulness using machine learning techniques and deep neural networks.</v>
          </cell>
          <cell r="H2" t="str">
            <v>to fill this gap by creating a speech corpus of Quechua Collao for automatic emotion recognition, evaluating its usefulness using machine learning techniques and deep neural networks, and making it publicly available</v>
          </cell>
        </row>
        <row r="3">
          <cell r="F3" t="str">
            <v xml:space="preserve"> automatic-speech-recognition, speech-processing, sentiment-analysis</v>
          </cell>
          <cell r="H3" t="str">
            <v>automatic-speech-recognition</v>
          </cell>
        </row>
        <row r="4">
          <cell r="F4" t="str">
            <v xml:space="preserve"> Quechua, speech emotion recognition, corpus, machine learning, neural networks, valence, arousal, dominance, Cronbach alpha coefficients, CCC scores, GeMAPS, MLP, LSTM, CNN.</v>
          </cell>
          <cell r="H4" t="str">
            <v>arousal, dominance, valence</v>
          </cell>
        </row>
        <row r="5">
          <cell r="F5" t="str">
            <v xml:space="preserve"> The dataset intends to fill the emotion recognition gap for Quechua speakers and open the opportunity for new studies.</v>
          </cell>
          <cell r="H5" t="str">
            <v>emotion recognition gap for Quechua speakers</v>
          </cell>
        </row>
        <row r="7">
          <cell r="F7" t="str">
            <v xml:space="preserve"> The Quechua Collao corpus38 is recommended for applications related to speech emotion recognition.</v>
          </cell>
          <cell r="H7" t="str">
            <v>SER</v>
          </cell>
        </row>
        <row r="8">
          <cell r="F8" t="str">
            <v xml:space="preserve"> No.</v>
          </cell>
          <cell r="H8" t="str">
            <v>no</v>
          </cell>
        </row>
        <row r="9">
          <cell r="F9" t="str">
            <v xml:space="preserve"> The models used to test the dataset are Support Vector Regression (SVR), K-neighbors Regression (KNR), Random Forest Regression (RFR), Multilayer Perceptron (MLP), Long Short-Term Memory (LSTM) network, and Convolutional Neural Network (CNN).</v>
          </cell>
          <cell r="H9" t="str">
            <v>Support Vector Regression (SVR), K-neighbors Regression (KNR), and Random Forest Regression (RFR)</v>
          </cell>
        </row>
        <row r="10">
          <cell r="F10" t="str">
            <v xml:space="preserve"> The F1, Accuracy, and other metrics extracted with the model are not provided in the context.</v>
          </cell>
          <cell r="H10" t="str">
            <v>RFR has the best mean on the CCC scores for each dimension, and arousal and dominance have higher CCC scores than valence</v>
          </cell>
        </row>
        <row r="11">
          <cell r="F11" t="str">
            <v xml:space="preserve"> Rosa Y. G. Paccotacya-Yanque, Candy A. Huanca-Anquise, Judith Escalante-Calcina, Wilber R. Ramos-Lovón, Álvaro E. Cuno-Parari</v>
          </cell>
          <cell r="H11" t="str">
            <v>Rosa Y. G. Paccotacya-Yanque , Candy A. Huanca-Anquise, Judith Escalante-Calcina, Wilber R. Ramos-Lovón &amp; lvaro E. Cuno-Parari</v>
          </cell>
        </row>
        <row r="12">
          <cell r="F12" t="str">
            <v>Proyecto Concytec - Banco Mundial, Mejoramiento y Ampliación de los Servicios del Sistema Nacional de Ciencia, Tecnología e Innovación Tecnológica</v>
          </cell>
          <cell r="H12" t="str">
            <v>Proyecto Concytec - Banco Mundial, Mejoramiento y Ampliación de los Servicios del Sistema Nacional de Ciencia, Tecnología e Innovación Tecnológica</v>
          </cell>
        </row>
        <row r="13">
          <cell r="F13" t="str">
            <v>public</v>
          </cell>
          <cell r="H13" t="str">
            <v>public</v>
          </cell>
        </row>
        <row r="14">
          <cell r="F14" t="str">
            <v xml:space="preserve"> N° 014-2019-FONDECYT-BM-INC.INV.</v>
          </cell>
          <cell r="H14" t="str">
            <v xml:space="preserve"> N° 014-2019-FONDECYT-BM-INC.INV.</v>
          </cell>
        </row>
        <row r="15">
          <cell r="F15" t="str">
            <v xml:space="preserve"> The maintainers of the dataset are Rosa Y. G. Paccotacya-Yanque, Candy A. Huanca-Anquise, Judith Escalante-Calcina, Wilber R. Ramos-Lovón, and Álvaro E. Cuno-Parari.</v>
          </cell>
          <cell r="H15" t="str">
            <v>Rosa Y. G. Paccotacya-Yanque , Candy A. Huanca-Anquise, Judith Escalante-Calcina, Wilber R. Ramos-Lovón &amp; lvaro E. Cuno-Parari</v>
          </cell>
        </row>
        <row r="16">
          <cell r="F16" t="str">
            <v xml:space="preserve"> No.</v>
          </cell>
          <cell r="H16" t="str">
            <v>The recordings provide prototypical insights for studying emotions but they cannot fully represent the emotional expressions of all Quechua speakers that are observed in real life.</v>
          </cell>
        </row>
        <row r="17">
          <cell r="F17" t="str">
            <v xml:space="preserve"> No.</v>
          </cell>
          <cell r="H17" t="str">
            <v>no</v>
          </cell>
        </row>
        <row r="18">
          <cell r="F18" t="str">
            <v xml:space="preserve"> No.</v>
          </cell>
          <cell r="H18" t="str">
            <v>No</v>
          </cell>
        </row>
        <row r="19">
          <cell r="F19" t="str">
            <v xml:space="preserve"> Yes, the link to the repository containing the data is https://github.com/qccData/qccCorpus.</v>
          </cell>
          <cell r="H19" t="str">
            <v>Yes</v>
          </cell>
        </row>
        <row r="20">
          <cell r="F20" t="str">
            <v xml:space="preserve"> No.</v>
          </cell>
          <cell r="H20" t="str">
            <v>CC-BY-NC-ND</v>
          </cell>
        </row>
        <row r="21">
          <cell r="G21" t="str">
            <v xml:space="preserve"> I don't know.</v>
          </cell>
          <cell r="I21" t="str">
            <v>Creative Commons Attribution 4.0 International
License</v>
          </cell>
        </row>
        <row r="22">
          <cell r="G22" t="str">
            <v xml:space="preserve"> The stand-alone dataset is publicly available and can be downloaded as a zip file. It is available at Figshare38 and the code and data splits for baseline algorithms are available at Github, in https://github.com/qccData/qccCorpus. All participants involved in the study provided written informed consent and their voices are shared anonymously.</v>
          </cell>
          <cell r="I22" t="str">
            <v xml:space="preserve">Not specified, but it's understood that follow CCA 4.0 </v>
          </cell>
        </row>
        <row r="23">
          <cell r="G23" t="str">
            <v xml:space="preserve"> The rights of the models trained with this data are not specified in the context.</v>
          </cell>
          <cell r="I23" t="str">
            <v xml:space="preserve">Not specified, but it's understood that follow CCA 4.0 </v>
          </cell>
        </row>
        <row r="24">
          <cell r="G24" t="str">
            <v xml:space="preserve"> Yes, the authors of the dataset are Rosa Y. G. Paccotacya-Yanque, Candy A. Huanca-Anquise, Judith Escalante-Calcina, Wilber R. Ramos-Lovón, and Álvaro E. Cuno-Parari.</v>
          </cell>
          <cell r="I24" t="str">
            <v>To the original authors and the publisher</v>
          </cell>
        </row>
        <row r="25">
          <cell r="F25" t="str">
            <v xml:space="preserve"> No, there is no deprecation plan or policy of the dataset.</v>
          </cell>
          <cell r="H25" t="str">
            <v>No</v>
          </cell>
        </row>
        <row r="27">
          <cell r="F27" t="str">
            <v xml:space="preserve"> The dataset is composed of four directories: Audios, Data, Labels, and Script. The Audios folder contains all audio segments in WAV format, each audio is randomly named by numbers ranging from 10001 to 22420. The Data folder contains a file named Data.csv, which contains detailed information of each audio. The Labels folder contains the annotations for each audio segment, and the Valence.csv, Arousal.csv, and Dominance.csv files, which contain the labels for the emotional dimensions of valence, arousal, and dominance respectively. The Labels.csv file contains the general average of each emotional dimension. Finally, the Script folder contains Script.xlsx, which is the script used for the corpus38 creation.</v>
          </cell>
          <cell r="H27" t="str">
            <v>All audio segments in WAV format are found in the Audios folder; each audio is randomly named by numbers ranging from 10001 to 22420.</v>
          </cell>
        </row>
        <row r="28">
          <cell r="F28" t="str">
            <v xml:space="preserve"> The corpus38 can be downloaded as a zip file that contains 4 directories. All audio segments in WAV format are found in the Audios folder; each audio is randomly named by numbers ranging from 10001 to 22420. Detailed information of each audio is found in a file inside the Data folder, in a file named Data.csv. This file is made up of five columns. The annotations for each audio segment are found in the Labels folder, and the emotional dimensions of valence are found in the Valence.csv file, which is made up of 5 columns. The values for the emotional dimension of arousal and the emotional dimension of dominance are found in the files Arousal.csv and Dominance.csv, respectively, and have the same structure as the Valence.csv file. The general average of each emotional dimension is found in the Labels.csv file, also within the Labels folder. Finally, the Script folder contains Script.xlsx, which is the script used for the corpus38 creation.</v>
          </cell>
          <cell r="H28" t="str">
            <v>The annotations for each audio segment are found in the Labels folder, and the emotional dimensions of valence are found in the Valence.csv file, which is made up of 5 columns: the first contains the name of the audio segment, and the other four store the label made by each annotator. For example, the second column contains the labels made by annotator 1, represented by the code N1. The values for the emotional dimension of arousal and the emotional dimension of dominance are found in the files Arousal.csv and Dominance.csv,</v>
          </cell>
        </row>
        <row r="30">
          <cell r="F30" t="str">
            <v xml:space="preserve"> Yes, there are histograms for each dimensional attribute in the Quechua Collao corpus (Fig. 3) and Cronbach's alpha coefficients (Table 3).</v>
          </cell>
          <cell r="H30" t="str">
            <v>The machine learning (ML) methods used are Support Vector Regression (SVR), K-neighbors Regression (KNR), and Random Forest Regression (RFR). They were implemented using Scikit-Learn40. The neural network models used are Multilayer Perceptron (MLP), Long Short-Term Memory (LSTM) network, and Convolutional Neural Network (CNN), whose implementation details can be found in Atmaja and Akagi’s work41. The hyperparameters were adjusted to the Quechua Collao corpus38 for each</v>
          </cell>
        </row>
        <row r="31">
          <cell r="F31" t="str">
            <v xml:space="preserve"> No, the data does not have any explicit consistency rule.</v>
          </cell>
          <cell r="H31" t="str">
            <v>No</v>
          </cell>
        </row>
        <row r="32">
          <cell r="F32" t="str">
            <v xml:space="preserve"> Yes, the paper mentions that the data was split into three sets: 60% for training, 20% for validation, and 20% for testing.</v>
          </cell>
          <cell r="H32" t="str">
            <v>60% for training, 20% for validation, and 20% for testing</v>
          </cell>
        </row>
        <row r="34">
          <cell r="F34" t="str">
            <v xml:space="preserve"> The Quechua Collao corpus38 contains 15 h 15 min of audio divided into 12420 segments of audio. The audio segments are in WAV format and are found in the Audios folder. Each audio is randomly named by numbers ranging from 10001 to 22420. The recordings were performed in a controlled environment with only six mid-age speakers acting established emotions.</v>
          </cell>
          <cell r="H34" t="str">
            <v>The recording sessions were performed with semi-professional microphones and at semi noiseless spaces at the School of Computer Science - UNSA. The actors were mostly mid-age native Quechua speakers that were paid to record. The whole script (2070 instances) was planned to be recorded by each actor of a group of three women and three men in order to have balanced data in terms of gender. However, an actress (Actress 5) could not finish due to unexpected situations, so her work was completed by another actress (Actress 7). Table 1 shows information related to actors.</v>
          </cell>
        </row>
        <row r="35">
          <cell r="F35" t="str">
            <v xml:space="preserve"> Audio or video recordings</v>
          </cell>
          <cell r="H35" t="str">
            <v>Interviews</v>
          </cell>
        </row>
        <row r="36">
          <cell r="F36" t="str">
            <v xml:space="preserve"> Not provided</v>
          </cell>
          <cell r="H36" t="str">
            <v>1 August 2022</v>
          </cell>
        </row>
        <row r="38">
          <cell r="F38" t="str">
            <v xml:space="preserve"> Not provided</v>
          </cell>
          <cell r="H38" t="str">
            <v>The recording sessions were performed with semi-professional microphones and at semi noiseless spaces at the School of Computer Science - UNSA.</v>
          </cell>
        </row>
        <row r="40">
          <cell r="F40" t="str">
            <v xml:space="preserve"> No</v>
          </cell>
          <cell r="H40" t="str">
            <v>No</v>
          </cell>
        </row>
        <row r="41">
          <cell r="F41" t="str">
            <v xml:space="preserve"> The data has been collected from the Quechua Collao corpus38. It is a publicly available corpus containing 15 h 15 min of audio divided into 12420 segments of audio. It was collected from six mid-age native Quechua speakers who were paid to record.</v>
          </cell>
          <cell r="H41" t="str">
            <v>The corpus is publicly available at Figshare38.
The recording sessions were performed with semi-professional microphones and at semi noiseless spaces at the School of Computer Science - UNSA.</v>
          </cell>
        </row>
        <row r="42">
          <cell r="F42" t="str">
            <v xml:space="preserve"> The data source mentioned in the context is the Quechua Collao corpus.</v>
          </cell>
          <cell r="H42" t="str">
            <v>the School of Computer Science - UNSA</v>
          </cell>
        </row>
        <row r="43">
          <cell r="F43" t="str">
            <v xml:space="preserve"> I don't know.</v>
          </cell>
          <cell r="H43" t="str">
            <v>I don't know</v>
          </cell>
        </row>
        <row r="44">
          <cell r="F44" t="str">
            <v xml:space="preserve"> I don't know.</v>
          </cell>
          <cell r="H44" t="str">
            <v>not provided</v>
          </cell>
        </row>
        <row r="45">
          <cell r="F45" t="str">
            <v xml:space="preserve"> The team who collected the data was composed of two men and two women who were employed and paid to annotate the audio labels. They were Quechua Collao native speakers and Quechua instructors, ages ranging from 27 to 46.</v>
          </cell>
          <cell r="H45" t="str">
            <v>The actors were mostly mid-age native Quechua speakers that were paid to record.</v>
          </cell>
        </row>
        <row r="46">
          <cell r="F46" t="str">
            <v xml:space="preserve"> An internal team.</v>
          </cell>
          <cell r="H46" t="str">
            <v>an internal team</v>
          </cell>
        </row>
        <row r="47">
          <cell r="F47" t="str">
            <v xml:space="preserve"> No, there is no demographic information of an internal team.</v>
          </cell>
          <cell r="H47" t="str">
            <v>No</v>
          </cell>
        </row>
        <row r="49">
          <cell r="F49" t="str">
            <v xml:space="preserve"> The data of the Quechua Collao corpus was annotated by four Quechua Collao native speakers and Quechua instructors, two men and two women, ages ranging from 27 to 46. The annotations were done using a sheet for each annotator, where they had to write the valence, arousal, and dominance values for each audio, using a scale of 1 to 5. Visual aid was provided using self-assessment manikins (SAMs). The reliability of the labels between annotators was calculated using Cronbach alpha coefficients.</v>
          </cell>
          <cell r="H49" t="str">
            <v>Each annotator labeled the 12420 audios over a 4-week period by assigning valence, arousal, and dominance values.</v>
          </cell>
        </row>
        <row r="50">
          <cell r="F50" t="str">
            <v xml:space="preserve"> Entity annotation</v>
          </cell>
          <cell r="H50" t="str">
            <v>Image and video annotations</v>
          </cell>
        </row>
        <row r="51">
          <cell r="F51" t="str">
            <v xml:space="preserve">
The labels of the dataset are valence, arousal, and dominance. Valence is a measure of the emotional positivity or negativity of an audio segment, with 1 being the most negative and 5 being the most positive. Arousal is a measure of the intensity of the emotion, with 1 being the most calm and 5 being the most excited. Dominance is a measure of the power of the emotion, with 1 being the most submissive and 5 being the most dominant.</v>
          </cell>
          <cell r="H51" t="str">
            <v>Valence.csv, Arousal.csv, Dominance.csv</v>
          </cell>
        </row>
        <row r="52">
          <cell r="F52" t="str">
            <v xml:space="preserve"> The data was annotated by two men and two women who are Quechua Collao native speakers and Quechua instructors, ages ranging from 27 to 46.</v>
          </cell>
          <cell r="H52" t="str">
            <v>Two men and two women</v>
          </cell>
        </row>
        <row r="53">
          <cell r="F53" t="str">
            <v xml:space="preserve"> An internal team. Two men and two women were employed and paid to annotate the audio labels. They are Quechua Collao native speakers and Quechua instructors, ages ranging from 27 to 46.</v>
          </cell>
          <cell r="H53" t="str">
            <v>an internal team</v>
          </cell>
        </row>
        <row r="54">
          <cell r="F54" t="str">
            <v xml:space="preserve"> Yes, there is demographic information about the team who annotated the data. Two men and two women were employed and paid to annotate the audio labels. They are Quechua Collao native speakers and Quechua instructors, ages ranging from 27 to 46. Table 1 in the context provides more details about the team.</v>
          </cell>
          <cell r="H54" t="str">
            <v>They are Quechua Collao native speakers and Quechua instructors, ages ranging from 27 to 46</v>
          </cell>
        </row>
        <row r="55">
          <cell r="F55" t="str">
            <v xml:space="preserve"> The annotation process was performed using a sheet for each annotator, where they had to write the valence, arousal, and dominance values for each audio. A scale of 1 to 5 was used, and visual aid was provided using self-assessment manikins (SAMs).</v>
          </cell>
          <cell r="H55" t="str">
            <v>a sheet for each annotator</v>
          </cell>
        </row>
        <row r="56">
          <cell r="F56" t="str">
            <v xml:space="preserve"> Machine learning methods (Support Vector Regression (SVR), K-neighbors Regression (KNR), and Random Forest Regression (RFR)), Multilayer Perceptron (MLP), Long Short-Term Memory (LSTM) network, and Convolutional Neural Network (CNN) have been applied over the dataset.</v>
          </cell>
          <cell r="H56" t="str">
            <v>Emotional Diversity, Annotation Consensus, and Machine Validation</v>
          </cell>
        </row>
        <row r="73">
          <cell r="F73" t="str">
            <v xml:space="preserve"> The data was randomly named by numbers ranging from 10001 to 22420 to avoid bias.</v>
          </cell>
          <cell r="H73" t="str">
            <v>The main limitation is the emotional imbalance of the corpus38, which can lead to low performance in SER algorithms for labels of instances with low frequency.</v>
          </cell>
        </row>
        <row r="74">
          <cell r="F74" t="str">
            <v xml:space="preserve"> No, all participants involved in the study provided written informed consent and the actors and actresses were informed that their voices would be freely shared anonymously.</v>
          </cell>
          <cell r="H74" t="str">
            <v>Quechua Collao native speakers and Quechua instructors</v>
          </cell>
        </row>
        <row r="75">
          <cell r="F75" t="str">
            <v xml:space="preserve"> Yes, there is an imbalance issue in the dataset. Data imbalance is observed for dominance, valence, and arousal.</v>
          </cell>
          <cell r="H75" t="str">
            <v>the corpus38 has an unbalanced emotional content (valence - arousal), a common problem in most data sets for SER39. Data imbalance is also observed for dominance</v>
          </cell>
        </row>
        <row r="76">
          <cell r="F76" t="str">
            <v xml:space="preserve"> No, the dataset does not contain any sensitive data or data that can be offensive for people.</v>
          </cell>
          <cell r="H76"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
      <sheetName val="Results-high"/>
      <sheetName val="Results-low"/>
    </sheetNames>
    <sheetDataSet>
      <sheetData sheetId="0">
        <row r="11">
          <cell r="B11">
            <v>0.51724137931034486</v>
          </cell>
        </row>
      </sheetData>
      <sheetData sheetId="1" refreshError="1"/>
      <sheetData sheetId="2">
        <row r="2">
          <cell r="F2" t="str">
            <v xml:space="preserve"> The purpose of the dataset is to help improve translational potential of algorithms for diagnosing melanoma, to help clinicians without access to tertiary referral centers assess high risk patients with multiple atypical nevi, and to explore the "ugly duckling" concept with machine learning.</v>
          </cell>
          <cell r="G2" t="str">
            <v>a dermatology image dataset that includes patient- and lesion-related clinical context, which can be used in studies to examine whether this additional information further improves recognition performance.</v>
          </cell>
        </row>
        <row r="3">
          <cell r="F3" t="str">
            <v xml:space="preserve"> image-classification, classification, object-detection, image-segmentation, image-captioning, image-retrieval</v>
          </cell>
          <cell r="G3" t="str">
            <v>image-classification</v>
          </cell>
        </row>
        <row r="4">
          <cell r="F4" t="str">
            <v xml:space="preserve"> AI, medical imaging, melanoma, mortality, morbidity, healthcare costs, recognition performance, clinical scenarios, biopsy, biologic skin ecosystem, ugly duckling sign, machine learning, multicenter dataset, clinical contextual information, dermoscopy, quality assurance, software annotation tool, diagnostic labeling, dataset design, data-handling, software applications, institutional databases, image ingestion, database hosting, quality review.</v>
          </cell>
          <cell r="G4" t="str">
            <v>melanoma, nevus, atypical, nevus, melanoma, melanoma, nevus, atypical, nevus, melanoma, nevus, atypical, nevus, melanoma, nevus, atypical, nevus, melanoma, nevus, atypical, nevus, melanoma, nevus, atypical, nevus, melanoma, nevus, atypical</v>
          </cell>
        </row>
        <row r="5">
          <cell r="F5" t="str">
            <v xml:space="preserve"> The dataset intends to fill the gap between prior challenges and clinical practice by providing patient-level contextual information to help diagnose melanoma and rule out false positives in patients with many atypical nevi.</v>
          </cell>
          <cell r="G5" t="str">
            <v>The dataset is designed to improve translational potential of algorithms, especially to help clinicians without access to tertiary referral centers assess high risk patients with multiple atypical nevi</v>
          </cell>
        </row>
        <row r="7">
          <cell r="F7" t="str">
            <v xml:space="preserve"> This dataset is recommended for applications related to AI-assisted skin lesion classification, especially for clinicians without access to tertiary referral centers to assess high risk patients with multiple atypical nevi. Additionally, algorithms developed using this dataset may be better candidates for incorporating into dermatology imaging systems, as they can evaluate all images for a given patient in context, and perhaps even be used during clinic visits in which multiple lesions are imaged.</v>
          </cell>
          <cell r="G7" t="str">
            <v>to help clinicians without access to tertiary referral centers assess high risk patients with multiple atypical nevi</v>
          </cell>
        </row>
        <row r="8">
          <cell r="F8" t="str">
            <v xml:space="preserve"> No.</v>
          </cell>
          <cell r="G8" t="str">
            <v>no</v>
          </cell>
        </row>
        <row r="9">
          <cell r="F9" t="str">
            <v>No: Unsure</v>
          </cell>
          <cell r="G9" t="str">
            <v>melanoma</v>
          </cell>
        </row>
        <row r="11">
          <cell r="F11" t="str">
            <v xml:space="preserve"> 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 Jabpani Nanda1,12, Ofer Reiter1,13, George Shih14, Alexander Stratigos3, Philipp Tschandl 9, Jochen Weber1 &amp; H. Peter Soyer 2</v>
          </cell>
          <cell r="G11" t="str">
            <v>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v>
          </cell>
        </row>
        <row r="12">
          <cell r="F12" t="str">
            <v xml:space="preserve"> Yes, the dataset was funded by the National Health and Medical Research Council (NHMRC) – Centre of Research Excellence Scheme (APP 1099021). Additionally, the Melanoma Research Alliance Young Investigator Award 614197 and the NIH/NCI Cancer Center Support Grant P30 CA008748 provided funding.</v>
          </cell>
          <cell r="G12" t="str">
            <v>The dataset provided by The University of Queensland in Brisbane was funded by the National Health and Medical Research Council (NHMRC) – Centre of Research Excellence Scheme (APP 1099021).</v>
          </cell>
        </row>
        <row r="13">
          <cell r="F13" t="str">
            <v xml:space="preserve"> Unknown</v>
          </cell>
          <cell r="G13" t="str">
            <v>public</v>
          </cell>
        </row>
        <row r="14">
          <cell r="F14" t="str">
            <v xml:space="preserve"> Not provided</v>
          </cell>
          <cell r="G14" t="str">
            <v>APP 1099021</v>
          </cell>
        </row>
        <row r="15">
          <cell r="F15" t="str">
            <v xml:space="preserve"> The maintainers of the dataset are Veronica Rotemberg, Nicholas Kurtansky, Brigid Betz-Stablein, Emmanouil Chousakos, Noel Codella, Marc Combalia, Stephen Dusza, Pascale Guitera, David Gutman, Allan Halpern, Brian Helba, Harald Kittler, Kivanc Kose, Steve Langer, Konstantinos Lioprys, Josep Malvehy, Shenara Musthaq, Jabpani Nanda, Ofer Reiter, George Shih, Alexander Stratigos, Philipp Tschandl, Jochen Weber, and H. Peter Soyer.</v>
          </cell>
          <cell r="G15" t="str">
            <v>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v>
          </cell>
        </row>
        <row r="16">
          <cell r="F16" t="str">
            <v xml:space="preserve"> The dataset is released under a Creative Commons Attribution-NonCommercial 4.0 International (CC BY-NC 4.0) license, and is permanently accessible to the public through the ISIC Archive12 at this https://doi.org/10.34970/2020-ds01. Currently no modifications have been made to the dataset, however, any metadata or image modifications will be noted at that DOI landing page.</v>
          </cell>
          <cell r="G16" t="str">
            <v>Author contributions: All authors have provided critical feedback during revision process and actively participated in preparation of the manuscript. V.R. oversaw dataset design, performed quality review and co-wrote the manuscript with N.K., N.K. collected cases, collated the dataset, and performed data-handling. J.W. and D.G. developed software applications for quality review of images. M.C., K.L., A.S., P.T., B.B.S., P.G. and H.K. collected cases and extracted images from their institutional</v>
          </cell>
        </row>
        <row r="17">
          <cell r="F17" t="str">
            <v xml:space="preserve"> No.</v>
          </cell>
          <cell r="G17" t="str">
            <v>no</v>
          </cell>
        </row>
        <row r="19">
          <cell r="F19" t="str">
            <v xml:space="preserve"> Yes, the dataset is available for download through the Kaggle platform and is permanently accessible to the public through the ISIC Archive at this https://doi.org/10.34970/2020-ds01.</v>
          </cell>
          <cell r="G19" t="str">
            <v>https://doi.org/10.34970/2020-ds01</v>
          </cell>
        </row>
        <row r="20">
          <cell r="F20" t="str">
            <v xml:space="preserve"> Creative Commons Attribution-NonCommercial 4.0 International (CC BY-NC 4.0)</v>
          </cell>
          <cell r="G20" t="str">
            <v>CC BY-NC 4.0</v>
          </cell>
        </row>
        <row r="21">
          <cell r="F21" t="str">
            <v xml:space="preserve"> The dataset is released under a Creative Commons Attribution-NonCommercial 4.0 International (CC BY-NC 4.0) license, which permits use, sharing, adaptation, distribution and reproduction in any medium or format, as long as you give appropriate credit to the original author(s) and the source, provide a link to the Creative Commons license, and indicate if changes were made.</v>
          </cell>
          <cell r="G21" t="str">
            <v>It is released under a Creative Commons Attribution-NonCommercial 4.0 International (CC BY-NC 4.0) license, and is permanently accessible to the public through the ISIC Archive12 at this https://doi.org/10.34970/2020-ds01.</v>
          </cell>
        </row>
        <row r="22">
          <cell r="F22" t="str">
            <v xml:space="preserve"> The models trained with this data are released under a Creative Commons Attribution-NonCommercial 4.0 International (CC BY-NC 4.0) license, which permits use, sharing, adaptation, distribution and reproduction in any medium or format, as long as appropriate credit is given to the original author(s) and the source, a link to the Creative Commons license is provided, and any changes are indicated.</v>
          </cell>
          <cell r="G22" t="str">
            <v>CC BY-NC 4.0</v>
          </cell>
        </row>
        <row r="23">
          <cell r="F23" t="str">
            <v xml:space="preserve"> Yes, the dataset is released under a Creative Commons Attribution-NonCommercial 4.0 International (CC BY-NC 4.0) license, and users must provide appropriate credit to the original author(s) and the source, provide a link to the Creative Commons license, and indicate if changes were made.</v>
          </cell>
          <cell r="G23" t="str">
            <v>a Creative Commons Attribution-NonCommercial 4.0 International (CC BY-NC 4.0) license</v>
          </cell>
        </row>
        <row r="24">
          <cell r="F24" t="str">
            <v xml:space="preserve"> No, the dataset is released under a Creative Commons Attribution-NonCommercial 4.0 International (CC BY-NC 4.0) license and is permanently accessible to the public through the ISIC Archive.</v>
          </cell>
          <cell r="G24" t="str">
            <v>no</v>
          </cell>
        </row>
        <row r="25">
          <cell r="F25" t="str">
            <v xml:space="preserve"> No, there is no deprecation plan or policy of the dataset. It is permanently accessible to the public through the ISIC Archive and any metadata or image modifications will be noted at the DOI landing page.</v>
          </cell>
          <cell r="G25" t="str">
            <v>It is released under a Creative Commons Attribution-NonCommercial 4.0 International (CC BY-NC 4.0) license, and is permanently accessible to the public through the ISIC Archive12 at this https://doi.org/10.34970/2020-ds01.</v>
          </cell>
        </row>
        <row r="27">
          <cell r="F27" t="str">
            <v xml:space="preserve"> The dataset is composed of DICOM files and JPEG files with associated comma-separated values (CSV) files.</v>
          </cell>
          <cell r="G27" t="str">
            <v>The dataset is available in two formats. The first is the file format described in Part 10 of Digital Imaging and Communication in Medicine (DICOM) standard18,19, which is currently being developed for dermatology.</v>
          </cell>
        </row>
        <row r="28">
          <cell r="F28" t="str">
            <v xml:space="preserve"> The dataset is available in two formats. The first is the file format described in Part 10 of Digital Imaging and Communication in Medicine (DICOM) standard, which is an amalgamation of the metadata and pixel data in a single file. The pixel data is encoded in Joint Photographic Expert Group (JPEG) format. The second format is where the images are in JPEG format and the metadata is included in a linked comma-separated values (CSV) file.</v>
          </cell>
          <cell r="G28" t="str">
            <v>The first is the file format described in Part 10 of Digital Imaging and Communication in Medicine (DICOM) standard18,19, which is currently being developed for dermatology.</v>
          </cell>
        </row>
        <row r="30">
          <cell r="F30" t="str">
            <v xml:space="preserve"> Yes, Table 1 provides a summary of the combined dataset with row and column percentages. Additionally, Fig. 3 shows the distribution of image count per patient.</v>
          </cell>
          <cell r="G30" t="str">
            <v>Various forms of dermoscopy imaging are included in the dataset: contact non-polarized light, contact polarized light, and non-contact polarized light.</v>
          </cell>
        </row>
        <row r="31">
          <cell r="F31" t="str">
            <v xml:space="preserve"> No, the dataset does not have any explicit consistency rule.</v>
          </cell>
          <cell r="G31" t="str">
            <v>Currently no modifications have been made to the dataset, however, any metadata or image modifications will be noted at that DOI landing page</v>
          </cell>
        </row>
        <row r="32">
          <cell r="F32" t="str">
            <v xml:space="preserve"> No, the paper does not mention any recommended data split of the dataset.</v>
          </cell>
          <cell r="G32" t="str">
            <v>Not mentioned</v>
          </cell>
        </row>
        <row r="34">
          <cell r="F34" t="str">
            <v xml:space="preserve"> The dataset was collected from three continents and includes images and metadata from 2,056 patients, with an average of 16 lesions per patient. The images were collected from various sources and incorporated into a cohesive dataset. The dataset was made available for download through the Kaggle platform and is released under a Creative Commons Attribution-NonCommercial 4.0 International (CC BY-NC 4.0) license. The images were selected to minimize the difference in patient imaging date variability and date range between patients with and without an imaged melanoma. Lesions in both classes were subsampled through patient matching, which led to a loss of 4.1% of images.</v>
          </cell>
          <cell r="G34" t="str">
            <v>The dataset was made available for download through the Kaggle platform as part of a live competition from May 27, 2020 through August 20, 2020.</v>
          </cell>
        </row>
        <row r="35">
          <cell r="F35" t="str">
            <v xml:space="preserve"> Manual Human Curator</v>
          </cell>
          <cell r="G35" t="str">
            <v>Manual Human Curator</v>
          </cell>
        </row>
        <row r="36">
          <cell r="F36" t="str">
            <v xml:space="preserve"> Not provided</v>
          </cell>
          <cell r="G36" t="str">
            <v>May 27, 2020 through August 20, 2020</v>
          </cell>
        </row>
        <row r="38">
          <cell r="F38" t="str">
            <v xml:space="preserve"> Not provided</v>
          </cell>
          <cell r="G38" t="str">
            <v>The dataset was made available for download through the Kaggle platform as part of a live competition from May 27, 2020 through August 20, 2020.</v>
          </cell>
        </row>
        <row r="40">
          <cell r="F40" t="str">
            <v xml:space="preserve"> No</v>
          </cell>
        </row>
        <row r="41">
          <cell r="F41" t="str">
            <v xml:space="preserve"> The data was collected from The University of Queensland in Brisbane, Australia. It was funded by the National Health and Medical Research Council (NHMRC) – Centre of Research Excellence Scheme (APP 1099021).</v>
          </cell>
          <cell r="G41" t="str">
            <v>not provided</v>
          </cell>
        </row>
        <row r="42">
          <cell r="F42" t="str">
            <v xml:space="preserve"> The University of Queensland in Brisbane, Australia.</v>
          </cell>
          <cell r="G42" t="str">
            <v>Kaggle</v>
          </cell>
        </row>
        <row r="43">
          <cell r="F43" t="str">
            <v xml:space="preserve"> I don't know.</v>
          </cell>
          <cell r="G43" t="str">
            <v>I don't know</v>
          </cell>
        </row>
        <row r="44">
          <cell r="F44" t="str">
            <v xml:space="preserve"> I don't know.</v>
          </cell>
          <cell r="G44" t="str">
            <v>yes</v>
          </cell>
        </row>
        <row r="45">
          <cell r="F45" t="str">
            <v xml:space="preserve"> V.R., N.K., J.W., D.G., M.C., K.L., A.S., P.T., B.B.S., P.G., H.K., L.C., N.C., S.D., A.H., K.K., S.L., J.M., H.P.S., B.H., E.C., S.M., J.N., and O.R.</v>
          </cell>
          <cell r="G45" t="str">
            <v>The University of Queensland</v>
          </cell>
        </row>
        <row r="46">
          <cell r="F46" t="str">
            <v xml:space="preserve"> An internal team and an external team.</v>
          </cell>
          <cell r="G46" t="str">
            <v>an external team</v>
          </cell>
        </row>
        <row r="47">
          <cell r="F47" t="str">
            <v xml:space="preserve"> No, there is no demographic information provided about the internal team or the external team.</v>
          </cell>
          <cell r="G47" t="str">
            <v>No</v>
          </cell>
        </row>
        <row r="49">
          <cell r="F49" t="str">
            <v xml:space="preserve"> The data was annotated by dermoscopy expert reviewers (EC, OR) using the software annotation tool 'Tagger'. They were presented sets of 30 images with a shared diagnosis and flagged images with erroneous labels. Out of all images reviewed in Tagger, 2.7% were removed. The dataset was also enriched for melanoma in general and does not represent true incidence of melanoma.</v>
          </cell>
          <cell r="G49" t="str">
            <v>The ground truth labels for all malignant lesions in the dataset were confirmed via retrospective review of histopathology reports, and diagnosis plausibility was visually confirmed by visual confirmation of a dermoscopy expert.</v>
          </cell>
        </row>
        <row r="50">
          <cell r="F50" t="str">
            <v xml:space="preserve"> Image and video annotations</v>
          </cell>
          <cell r="G50" t="str">
            <v>Others</v>
          </cell>
        </row>
        <row r="51">
          <cell r="F51" t="str">
            <v xml:space="preserve"> The labels of the dataset are approximate patient age at time of image capture, biological sex, general anatomic site of the lesion, anonymized patient identification number, benign/malignant category, and the specific diagnosis if one was available based on an acceptable ground truth confirmation method.</v>
          </cell>
          <cell r="G51" t="str">
            <v>benign/malignant category, and the specific diagnosis if one was available based on an acceptable ground truth confirmation method</v>
          </cell>
        </row>
        <row r="52">
          <cell r="F52" t="str">
            <v xml:space="preserve"> E.C., S.M., J.N. and O.R. performed quality review of images.</v>
          </cell>
          <cell r="G52" t="str">
            <v>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v>
          </cell>
        </row>
        <row r="53">
          <cell r="F53" t="str">
            <v xml:space="preserve"> An internal team.</v>
          </cell>
          <cell r="G53" t="str">
            <v>an internal team</v>
          </cell>
        </row>
        <row r="54">
          <cell r="F54" t="str">
            <v xml:space="preserve"> No, there is no demographic information about the team who annotated the data.</v>
          </cell>
          <cell r="G54" t="str">
            <v>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v>
          </cell>
        </row>
        <row r="55">
          <cell r="F55" t="str">
            <v xml:space="preserve"> Tagger</v>
          </cell>
          <cell r="G55" t="str">
            <v>Tagger</v>
          </cell>
        </row>
        <row r="56">
          <cell r="F56" t="str">
            <v xml:space="preserve"> Histopathology reports were double checked if the label was suspicious. Melanoma in situ and invasive melanoma were both coded as melanoma. All other qualifying images were coded as benign, including those diagnosed as severely dysplastic nevi. Dermatofibromas, seborrheic keratosis, or vascular lesions were not monitored, as that would not reflect clinical practice, but labels were verified visually by an expert in dermoscopy.</v>
          </cell>
          <cell r="G56" t="str">
            <v>Technical Validation: The ground truth labels for all malignant lesions in the dataset were confirmed via retrospective review of histopathology reports, and diagnosis plausibility was visually confirmed by visual confirmation of a dermoscopy expert.</v>
          </cell>
        </row>
        <row r="73">
          <cell r="F73" t="str">
            <v xml:space="preserve"> Yes, there is potential bias in the data due to the low population prevalence and challenges with access to care in different populations, which may lead to either overdiagnosis or underdiagnosis of melanomas in darker skin types. Additionally, the dataset is enriched for melanoma in general and does not represent true incidence of melanoma.</v>
          </cell>
          <cell r="G73" t="str">
            <v>Due to low population prevalence and challenges with access to care in different populations, the images gathered for large datasets such as this for AI classification have a strong tendency to under-represent darker skin types.</v>
          </cell>
        </row>
        <row r="74">
          <cell r="F74" t="str">
            <v xml:space="preserve"> Yes, due to low population prevalence and challenges with access to care in different populations, the images gathered for large datasets such as this for AI classification have a strong tendency to under-represent darker skin types.</v>
          </cell>
          <cell r="G74" t="str">
            <v>darker skin types</v>
          </cell>
        </row>
        <row r="75">
          <cell r="F75" t="str">
            <v xml:space="preserve"> Yes, due to the retrospective nature of image acquisition and potential surveillance bias in different patient populations, the number of lesions per patient was not distributed identically between the class of patients with a melanoma image and the class without a melanoma image. Because the lesions in this dataset do not represent all lesions that exist on this set of patients, it is possible the imbalance is related to selection bias of imaged lesions. Lesions in both classes were subsampled through patient matching, which led to a loss of 4.1% of images. Ultimately, 50% of the patients have more than 10 contextual lesions.</v>
          </cell>
          <cell r="G75" t="str">
            <v>Due to the retrospective nature of image acquisition and potential surveillance bias in different patient populations, the number of lesions per patient was not distributed identically between the class of patients with a melanoma image and the class without a melanoma image</v>
          </cell>
        </row>
        <row r="76">
          <cell r="F76" t="str">
            <v xml:space="preserve"> No, there are no sensitive data or data that can be offensive for people in the dataset.</v>
          </cell>
          <cell r="G76" t="str">
            <v>a strong tendency to under-represent darker skin types</v>
          </cell>
        </row>
        <row r="77">
          <cell r="F77" t="str">
            <v xml:space="preserve"> No, the dataset is released under a Creative Commons Attribution-NonCommercial 4.0 International (CC BY-NC 4.0) license, and is permanently accessible to the public through the ISIC Archive.</v>
          </cell>
          <cell r="G77" t="str">
            <v>The dataset was made available for download through the Kaggle platform as part of a live competition from May 27, 2020 through August 20, 2020. It is released under a Creative Commons Attribution-NonCommercial 4.0 International (CC BY-NC 4.0) license, and is permanently accessible to the public through the ISIC Archive12 at this https://doi.org/10.34970/2020-ds01.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
      <sheetName val="Results-high"/>
      <sheetName val="Results-low"/>
    </sheetNames>
    <sheetDataSet>
      <sheetData sheetId="0">
        <row r="11">
          <cell r="B11">
            <v>0.48148148148148145</v>
          </cell>
        </row>
      </sheetData>
      <sheetData sheetId="1"/>
      <sheetData sheetId="2">
        <row r="2">
          <cell r="G2" t="str">
            <v xml:space="preserve"> The purpose of the dataset is to accurately capture a wide range of complex, nuanced biomedical phenomena found in eligibility criteria using a rich, granular annotation schema, and to serve as a valuable training dataset for NLP approaches while significantly simplifying disambiguation steps and text-processing for query generation.</v>
          </cell>
          <cell r="I2" t="str">
            <v>Identifying cohorts of patients based on eligibility criteria such as medical conditions, procedures, and medication use is critical to recruitment for clinical trials. Such criteria are often most naturally described in free-text, using language familiar to clinicians and researchers. In order to identify potential participants at scale, these criteria must first be translated into queries on clinical databases, which can be labor-intensive and error-prone. Natural language processing (NLP) methods offer a potential means of such conversion into database queries automatically. However they must first be trained and evaluated using corpora which capture clinical trials criteria in sufficient detail. In this</v>
          </cell>
        </row>
        <row r="3">
          <cell r="G3" t="str">
            <v xml:space="preserve"> information retrieval</v>
          </cell>
          <cell r="I3" t="str">
            <v>other</v>
          </cell>
        </row>
        <row r="4">
          <cell r="G4" t="str">
            <v xml:space="preserve"> Clinical trials, eligibility criteria, natural language processing, NLP, query generation, structured query language, SQL, biomedical phenomena, contraindications, named entity recognition, NER, relation extraction, normalization, ICD-10, negation detection, cohort discovery, Leaf, i2b2, semantic parsing, information retrieval, EliIE, Chia, Brat annotation tool.</v>
          </cell>
          <cell r="I4" t="str">
            <v>Annotation, Clinical, Trial, Eligibility, Identify, Cohort, Identifying, Medical, Conditions, Procedures, Medication, Use</v>
          </cell>
        </row>
        <row r="5">
          <cell r="G5" t="str">
            <v xml:space="preserve"> The Leaf Clinical Trials (LCT) corpus is intended to fill the gaps in existing datasets by providing a highly granular structured annotation schema that captures a range of biomedical phenomena. This multilayered annotation strategy allows for significant flexibility in capturing entities and relations in a slot-filling fashion, simplifying the task of downstream query generation. The LCT annotation schema contributes novel features such as deep granularity in entities and relations, which enables a rich semantic representation that closely captures the intent of complex clinical trial eligibility criteria and facilitates accurate query generation.</v>
          </cell>
          <cell r="I5" t="str">
            <v>Identifying cohorts of patients based on eligibility criteria such as medical conditions, procedures, and medication use is critical to recruitment for clinical trials. Such criteria are often most naturally described in free-text, using language familiar to clinicians and researchers. In order to identify potential participants at scale, these criteria must first be translated into queries on clinical databases, which can be labor-intensive and error-prone. Natural language processing (NLP) methods offer a potential means of such conversion into database queries automatically. However they must first be trained and evaluated using corpora which capture clinical trials criteria in sufficient detail. In this</v>
          </cell>
        </row>
        <row r="7">
          <cell r="G7" t="str">
            <v xml:space="preserve"> The Leaf Clinical Trials (LCT) corpus is recommended for training and evaluating natural language processing (NLP) methods for query generation from clinical trial eligibility criteria. It can be used to facilitate query generation and question answering for real-world clinical trials and clinical research, specifically for a future version of the Leaf cohort discovery tool.</v>
          </cell>
          <cell r="I7" t="str">
            <v>The LCT corpus is designed to facilitate query generation and question answering for real-world clinical trials and clinical research, specifically for a future version of the Leaf cohort discovery tool2.</v>
          </cell>
        </row>
        <row r="8">
          <cell r="G8" t="str">
            <v xml:space="preserve"> No</v>
          </cell>
          <cell r="I8" t="str">
            <v>no</v>
          </cell>
        </row>
        <row r="9">
          <cell r="G9" t="str">
            <v xml:space="preserve"> The models used to test the dataset are biLSTM + CRF, SciBERT, PubMedBERT, and R-BERT.  The F1 score for entities using SciBERT was 81.3%, and the F1 score for relations using the R-BERT architecture with SciBERT was 85.2%. The precision for the NER experiments using the manually annotated and semi-automatically annotated portions of the corpus was 79.7%, the recall was 82.5%, and the F1 score was 81.4%. The F1 scores for the manually annotated and semi-automatically annotated portions of the corpus were 78.6% and 80.0%, respectively. The initial inter-annotator agreement using the 20 training documents was 76.1% for entities and 60.3% for relations, and improved slightly to 78.1% (+2%) for entities and 60.9% (+0.6%) for relations in the 99 additional double-annotated documents.</v>
          </cell>
          <cell r="I9" t="str">
            <v>biLSTM + CRF and BERT22 neural architectures: F1 score of 81.3% on entities using SciBERT and 85.2% on relations using the R-BERT architecture with SciBERT</v>
          </cell>
        </row>
        <row r="10">
          <cell r="G10" t="str">
            <v xml:space="preserve"> Nicholas J. Dobbins, Tony Mullen, Özlem Uzuner, Meliha Yetisgen</v>
          </cell>
          <cell r="I10" t="str">
            <v>Nicholas J. Dobbins, Tony Mullen, zlem Uzuner &amp; Meliha Yetisgen</v>
          </cell>
        </row>
        <row r="11">
          <cell r="G11" t="str">
            <v xml:space="preserve"> Yes, this study was supported in part by the National Library of Medicine under Award Number R15LM013209 and by the National Center for Advancing Translational Sciences of National Institutes of Health under Award Number UL1TR002319. Experiments were run on computational resources generously provided by the UW Department of Radiology.</v>
          </cell>
          <cell r="I11" t="str">
            <v>This study was supported in part by the National Library of Medicine under Award Number R15LM013209 and by the National Center for Advancing Translational Sciences of National Institutes of Health under Award Number UL1TR002319.</v>
          </cell>
        </row>
        <row r="12">
          <cell r="G12" t="str">
            <v xml:space="preserve"> Public</v>
          </cell>
          <cell r="I12" t="str">
            <v>public</v>
          </cell>
        </row>
        <row r="13">
          <cell r="G13" t="str">
            <v xml:space="preserve"> Not provided</v>
          </cell>
          <cell r="I13" t="str">
            <v>not provided</v>
          </cell>
        </row>
        <row r="14">
          <cell r="G14" t="str">
            <v xml:space="preserve"> The maintainers of the dataset are Nicholas J. Dobbins, Tony Mullen, Özlem Uzuner, and Meliha Yetisgen.</v>
          </cell>
          <cell r="I14" t="str">
            <v>Nicholas J. Dobbins, Tony Mullen, zlem Uzuner &amp; Meliha Yetisgen1</v>
          </cell>
        </row>
        <row r="15">
          <cell r="G15" t="str">
            <v xml:space="preserve"> No.</v>
          </cell>
          <cell r="I15" t="str">
            <v>1. The combined inclusion and exclusion criteria text was at least 50 characters long. 2. The clinical trial was uploaded on or after January 1st, 2018.</v>
          </cell>
        </row>
        <row r="16">
          <cell r="G16" t="str">
            <v xml:space="preserve"> No.</v>
          </cell>
          <cell r="I16" t="str">
            <v>no</v>
          </cell>
        </row>
        <row r="17">
          <cell r="G17" t="str">
            <v xml:space="preserve"> No.</v>
          </cell>
          <cell r="I17" t="str">
            <v>no</v>
          </cell>
        </row>
        <row r="18">
          <cell r="G18" t="str">
            <v xml:space="preserve"> Yes, the data can be found at https://doi.org/10.6084/m9.figshare.1720961021.</v>
          </cell>
          <cell r="I18" t="str">
            <v>https://doi.org/10.6084/ m9.figshare.1720961021</v>
          </cell>
        </row>
        <row r="19">
          <cell r="G19" t="str">
            <v xml:space="preserve"> Creative Commons Attribution 4.0 International License</v>
          </cell>
          <cell r="I19" t="str">
            <v>Creative Commons Attribution 4.0 International License</v>
          </cell>
        </row>
        <row r="21">
          <cell r="G21" t="str">
            <v xml:space="preserve"> The models trained with this data are not subject to any specific rights. The data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v>
          </cell>
          <cell r="I21" t="str">
            <v>Creative Commons Attribution 4.0 International License</v>
          </cell>
        </row>
        <row r="22">
          <cell r="G22" t="str">
            <v xml:space="preserve"> Yes, the attribution notice is included in the Creative Commons license. It states that you must give appropriate credit to the original author(s) and the source, provide a link to the Creative Commons license, and indicate if changes were made.</v>
          </cell>
          <cell r="I22" t="str">
            <v>The images or other third party material in this article are included in the article’s Creative Commons license, unless indicated otherwise in a credit line to the material.</v>
          </cell>
        </row>
        <row r="23">
          <cell r="G23" t="str">
            <v xml:space="preserve"> No, the license and distribution of the dataset is managed by the authors.</v>
          </cell>
          <cell r="I23" t="str">
            <v>No</v>
          </cell>
        </row>
        <row r="24">
          <cell r="G24" t="str">
            <v xml:space="preserve"> No, the license and distribution of the dataset is covered by the Creative Commons Attribution 4.0 International License, which is described in the context.</v>
          </cell>
          <cell r="I24" t="str">
            <v>Yes</v>
          </cell>
        </row>
        <row r="27">
          <cell r="G27" t="str">
            <v xml:space="preserve"> The LCT corpus includes two file types, “.txt” files and “.ann” files. The “.txt” files contain the free-text eligibility criteria information in the 1,006 documents of the LCT corpus. Each file is named using the “NCT” identifier used by https://clinicaltrials.gov. The “.ann” files contain the annotations of the eligibility criteria using the Brat “standoff” format.</v>
          </cell>
          <cell r="I27" t="str">
            <v>The LCT corpus is annotated using the Brat “standoff ” format. The Brat format includes two file types, “.txt” files and “.ann” files.</v>
          </cell>
        </row>
        <row r="28">
          <cell r="G28" t="str">
            <v xml:space="preserve"> No, I don't know.</v>
          </cell>
          <cell r="I28" t="str">
            <v>NER, relation extraction, normalization, negation detection</v>
          </cell>
        </row>
        <row r="30">
          <cell r="G30" t="str">
            <v xml:space="preserve"> No, the LCT annotation schema does not have any explicit consistency rules.</v>
          </cell>
          <cell r="I30" t="str">
            <v>No</v>
          </cell>
        </row>
        <row r="31">
          <cell r="G31" t="str">
            <v xml:space="preserve"> No, the paper does not mention any recommended data split of the dataset.</v>
          </cell>
          <cell r="I31" t="str">
            <v>No</v>
          </cell>
        </row>
        <row r="33">
          <cell r="G33" t="str">
            <v xml:space="preserve"> The Leaf Clinical Trials (LCT) corpus is a dataset of over 1,000 clinical trial eligibility criteria descriptions. The documents were randomly selected and included only if they met certain criteria, such as being uploaded on or after January 1st, 2018 and having a combined inclusion and exclusion criteria text of at least 50 characters long. The data was collected from the ClinicalTrials.gov website.</v>
          </cell>
          <cell r="I33" t="str">
            <v>We extracted 1,020 randomly selected clinical trials eligibility descriptions, 20 for training and inter-annotator comparison and 1,000 for post-training annotation.</v>
          </cell>
        </row>
        <row r="34">
          <cell r="G34" t="str">
            <v xml:space="preserve"> Web Scraping</v>
          </cell>
          <cell r="I34" t="str">
            <v>Others</v>
          </cell>
        </row>
        <row r="35">
          <cell r="G35" t="str">
            <v xml:space="preserve"> January 1st, 2018</v>
          </cell>
          <cell r="I35" t="str">
            <v>1 February 2022</v>
          </cell>
        </row>
        <row r="37">
          <cell r="G37" t="str">
            <v xml:space="preserve"> Not provided</v>
          </cell>
          <cell r="I37" t="str">
            <v>clinicaltrials.gov</v>
          </cell>
        </row>
        <row r="39">
          <cell r="G39" t="str">
            <v xml:space="preserve"> Yes</v>
          </cell>
          <cell r="I39" t="str">
            <v>Yes</v>
          </cell>
        </row>
        <row r="40">
          <cell r="G40" t="str">
            <v xml:space="preserve"> The data was collected from the Leaf Clinical Trials Corpus, a human-annotated corpus of over 1,000 clinical trial eligibility criteria descriptions using highly granular structured labels capturing a range of biomedical phenomena.</v>
          </cell>
          <cell r="I40" t="str">
            <v>not provided</v>
          </cell>
        </row>
        <row r="41">
          <cell r="G41" t="str">
            <v xml:space="preserve"> The Leaf Clinical Trials Corpus</v>
          </cell>
          <cell r="I41" t="str">
            <v>clinical trials eligibility descriptions</v>
          </cell>
        </row>
        <row r="42">
          <cell r="G42" t="str">
            <v xml:space="preserve"> It is difficult to say without further information about the Leaf Clinical Trials Corpus.</v>
          </cell>
          <cell r="I42" t="str">
            <v>I don't know</v>
          </cell>
        </row>
        <row r="43">
          <cell r="G43" t="str">
            <v xml:space="preserve"> I don't know.</v>
          </cell>
          <cell r="I43" t="str">
            <v>not provided</v>
          </cell>
        </row>
        <row r="44">
          <cell r="G44" t="str">
            <v xml:space="preserve"> The team who collected the data was Nicholas J. Dobbins, Tony Mullen, Özlem Uzuner, and Meliha Yetisgen.</v>
          </cell>
          <cell r="I44" t="str">
            <v>Nicholas J. Dobbins, Tony Mullen, zlem Uzuner &amp; Meliha Yetisgen1</v>
          </cell>
        </row>
        <row r="45">
          <cell r="G45" t="str">
            <v xml:space="preserve"> An internal team.</v>
          </cell>
          <cell r="I45" t="str">
            <v>an external team</v>
          </cell>
        </row>
        <row r="46">
          <cell r="G46" t="str">
            <v xml:space="preserve"> No, the LCT corpus does not include any demographic information of an internal team.</v>
          </cell>
          <cell r="I46" t="str">
            <v>No</v>
          </cell>
        </row>
        <row r="48">
          <cell r="G48" t="str">
            <v xml:space="preserve"> The data of the LCT corpus was annotated by two annotators, a biomedical informatician and a computer scientist. Initial annotation training was done with 20 documents, and annotation was done in several steps. First, annotation meetings were held bi-weekly for 3 months following initial annotation training in which the annotation guidelines were introduced and revised. After that, eligibility criteria were assigned to each annotator, with each clinical trial eligibility criteria annotated by a single annotator using the BRAT annotation tool. At the point in which 50% of the corpus was annotated, two neural networks were trained using the NeuroNER tool to predict annotations for the remaining 50%. Manual annotation was completed on the remaining 50% of eligibility descriptions by editing and correcting the predicted entities from NeuroNER. The resulting corpus included 887 single-annotated and 119 double-annotated total notes.</v>
          </cell>
          <cell r="I48" t="str">
            <v>The LCT corpus is annotated using the Brat “standoff ” format.</v>
          </cell>
        </row>
        <row r="49">
          <cell r="G49" t="str">
            <v xml:space="preserve"> Entity annotation</v>
          </cell>
          <cell r="I49" t="str">
            <v>Image and video annotations</v>
          </cell>
        </row>
        <row r="51">
          <cell r="G51" t="str">
            <v xml:space="preserve"> N.D., T.M., O.U., and M.Y. have all annotated the data.</v>
          </cell>
          <cell r="I51" t="str">
            <v>Nicholas J. Dobbins, Tony Mullen, zlem Uzuner &amp; Meliha Yetisgen1</v>
          </cell>
        </row>
        <row r="52">
          <cell r="G52" t="str">
            <v xml:space="preserve"> The data was annotated by two annotators, the first a biomedical informatician and the second a computer scientist.</v>
          </cell>
          <cell r="I52" t="str">
            <v>Annotation was performed by two annotators, the first a biomedical informatician and the second a computer scientist</v>
          </cell>
        </row>
        <row r="53">
          <cell r="G53" t="str">
            <v xml:space="preserve"> No, there is no demographic information about the team who annotated the data.</v>
          </cell>
          <cell r="I53" t="str">
            <v>No</v>
          </cell>
        </row>
        <row r="54">
          <cell r="G54" t="str">
            <v xml:space="preserve"> The Brat annotation tool has been used to annotate the dataset.</v>
          </cell>
          <cell r="I54" t="str">
            <v>BRAT annotation tool19</v>
          </cell>
        </row>
        <row r="55">
          <cell r="G55" t="str">
            <v xml:space="preserve"> Inter-annotator agreement was calculated using F1 scoring for entities and relations with 20 double-annotated documents. Additionally, NER experiments were conducted using the manually annotated and semi-automatically annotated portions of the corpus.</v>
          </cell>
          <cell r="I55" t="str">
            <v>Inter-annotator agreement. Inter-annotator agreement was calculated using F1 scoring for entities and relations with 20 double-annotated documents.</v>
          </cell>
        </row>
        <row r="88">
          <cell r="G88" t="str">
            <v xml:space="preserve"> No, the dataset only includes eligibility criteria related to medical conditions, procedures, and medication use. It does not include any social groups.</v>
          </cell>
          <cell r="I88" t="str">
            <v>The LCT corpus is designed as a granular and robust resource of annotated eligibility criteria to enable models for entity and relation prediction as means of query generation.</v>
          </cell>
        </row>
        <row r="89">
          <cell r="G89" t="str">
            <v xml:space="preserve"> No, the results of experiments to detect differences in performance by training on the manually annotated portion versus the semi-automatically annotated portion (F1 scores of 78.6% and 80.0%) suggest this may not be not a significant issue.</v>
          </cell>
          <cell r="I89" t="str">
            <v>804 documents used for the training set and 202 for the test set</v>
          </cell>
        </row>
        <row r="90">
          <cell r="G90" t="str">
            <v xml:space="preserve"> No, the dataset does not contain any sensitive data or data that can be offensive for people.</v>
          </cell>
          <cell r="I90" t="str">
            <v>804 documents used for the training set and 202 for the test set</v>
          </cell>
        </row>
        <row r="91">
          <cell r="G91" t="str">
            <v xml:space="preserve"> No, the data is publicly available and does not contain any private information.</v>
          </cell>
          <cell r="I91" t="str">
            <v>No</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
      <sheetName val="Results-high"/>
      <sheetName val="Results-low"/>
    </sheetNames>
    <sheetDataSet>
      <sheetData sheetId="0">
        <row r="11">
          <cell r="B11">
            <v>0.55172413793103448</v>
          </cell>
        </row>
      </sheetData>
      <sheetData sheetId="1" refreshError="1"/>
      <sheetData sheetId="2">
        <row r="2">
          <cell r="F2" t="str">
            <v xml:space="preserve"> The dataset can be used to train or evaluate classification approaches to automatically identify written text on AMR events across the different reservoirs and sectors of One Health (i.e. human, animal, food, environmental sources, such as soil and waste water) in unstructured data (e.g. news, tweets) and classify these events by relevance for EI purposes.</v>
          </cell>
          <cell r="G2" t="str">
            <v>This dataset contributes to the available resources for Natural Language Processing (NLP) on specialized domains and more precisely in the field of AMR surveillance and epidemic intelligence.</v>
          </cell>
        </row>
        <row r="3">
          <cell r="F3" t="str">
            <v xml:space="preserve"> text-classification, text-mining, named-entity-recognition, sentiment-analysis, classification, information-retrieval, other</v>
          </cell>
          <cell r="G3" t="str">
            <v>text-classification</v>
          </cell>
        </row>
        <row r="4">
          <cell r="F4" t="str">
            <v xml:space="preserve"> Antimicrobial resistance (AMR), Text mining, Annotation, Epidemiology, Event-based surveillance, Natural Language Processing (NLP), Data mining, Support Vector Machines (SVM), Tf-Idf, Doc2Vec, SMOTETomek, One Health, Host classiﬁcation, Thematic classiﬁcation.</v>
          </cell>
          <cell r="G4" t="str">
            <v>Antimicrobial resistance (AMR), Text mining, Annotation, Epidemiology</v>
          </cell>
        </row>
        <row r="5">
          <cell r="F5" t="str">
            <v xml:space="preserve"> The dataset is intended to fill gaps in natural language processing on specialized domains, particularly in the field of AMR surveillance and epidemic intelligence. It is useful for computer scientists for NLP and data mining tasks, and can be used for evaluation or training purposes for classification tasks. It can support the development of methodology that can automatically classify EBS AMR data, hence facilitate relevant epidemic intelligence activities for AMR across the One Health domains.</v>
          </cell>
          <cell r="G5" t="str">
            <v>It is useful for the detection of information across the One Health domains (humans, animals and environment) and interactions between these domains</v>
          </cell>
        </row>
        <row r="7">
          <cell r="F7" t="str">
            <v xml:space="preserve"> The dataset is recommended for Natural Language Processing (NLP) and data mining tasks, as well as for evaluation or training purposes for classification tasks. It can be used to train or evaluate classification approaches to automatically identify written text on AMR events across the different reservoirs and sectors of One Health (i.e. human, animal, food, environmental sources, such as soil and waste water) in unstructured data (e.g. news, tweets) and classify these events by relevance for epidemic intelligence purposes.</v>
          </cell>
          <cell r="G7" t="str">
            <v>It can be used for evaluation or training purposes for classification tasks.</v>
          </cell>
        </row>
        <row r="8">
          <cell r="F8" t="str">
            <v xml:space="preserve"> No.</v>
          </cell>
          <cell r="G8" t="str">
            <v>no</v>
          </cell>
        </row>
        <row r="9">
          <cell r="F9" t="str">
            <v xml:space="preserve"> The models used to test the dataset are Support Vector Machines (SVM) and the two feature extraction methods Tf-Idf (Term Frequency - Inverse Document Frequency weighting) and Doc2Vec.  The evaluation metrics used to test the model are Precision, Recall, and F-measure. The F-measure is calculated as the unweighted mean of the Precision and Recall scores for each output class.</v>
          </cell>
          <cell r="G9" t="str">
            <v>Tf-Idf and Doc2Vec</v>
          </cell>
        </row>
        <row r="11">
          <cell r="F11" t="str">
            <v xml:space="preserve"> Nejat Arınık, Wim Van Bortel, Bahdja Boudoua, Luca Busani, Rémy Decoupes, Roberto Interdonato, Rodrique Kafando, Esther van Kleef, Mathieu Roche, Mehtab Alam Syed, Maguelonne Teisseire</v>
          </cell>
          <cell r="G11" t="str">
            <v>Nejat Arnk , Wim Van Bortel , Bahdja Boudoua , Luca Busani Rémy Decoupes , Roberto Interdonato , Rodrique Kafando Esther van Kleef , Mathieu Roche , Mehtab Alam Syed Maguelonne Teisseire</v>
          </cell>
        </row>
        <row r="12">
          <cell r="F12" t="str">
            <v xml:space="preserve"> This study was partially funded by EU grant 874850 MOOD and is catalogued as MOOD052. The contents of this publication are the sole responsibility of the authors and do not necessarily reﬂect the views of the European Commission.</v>
          </cell>
          <cell r="G12" t="str">
            <v>This study was partially funded by EU grant 874850 MOOD and is catalogued as MOOD052.</v>
          </cell>
        </row>
        <row r="13">
          <cell r="F13" t="str">
            <v xml:space="preserve"> Unknown</v>
          </cell>
          <cell r="G13" t="str">
            <v>public</v>
          </cell>
        </row>
        <row r="14">
          <cell r="F14" t="str">
            <v xml:space="preserve"> Not provided.</v>
          </cell>
          <cell r="G14" t="str">
            <v>not provided</v>
          </cell>
        </row>
        <row r="15">
          <cell r="F15" t="str">
            <v xml:space="preserve"> Nejat Arınık, Wim Van Bortel, Bahdja Boudoua, Luca Busani, Rémy Decoupes, Roberto Interdonato, Rodrique Kafando, Esther van Kleef, Mathieu Roche, Mehtab Alam Syed, and Maguelonne Teisseire.</v>
          </cell>
          <cell r="G15" t="str">
            <v>Nejat Arnk , Wim Van Bortel , Bahdja Boudoua , Luca Busani Rémy Decoupes , Roberto Interdonato , Rodrique Kafando Esther van Kleef , Mathieu Roche , Mehtab Alam Syed Maguelonne Teisseire</v>
          </cell>
        </row>
        <row r="16">
          <cell r="F16" t="str">
            <v xml:space="preserve"> No.</v>
          </cell>
          <cell r="G16" t="str">
            <v>The guidelines were designed according to an iterative process made of multiple annotation rounds.</v>
          </cell>
        </row>
        <row r="17">
          <cell r="F17" t="str">
            <v xml:space="preserve"> No.</v>
          </cell>
          <cell r="G17" t="str">
            <v>no</v>
          </cell>
        </row>
        <row r="18">
          <cell r="F18" t="str">
            <v xml:space="preserve"> No.</v>
          </cell>
          <cell r="G18" t="str">
            <v>no</v>
          </cell>
        </row>
        <row r="19">
          <cell r="F19" t="str">
            <v xml:space="preserve"> No</v>
          </cell>
          <cell r="G19" t="str">
            <v>Yes</v>
          </cell>
        </row>
        <row r="21">
          <cell r="F21" t="str">
            <v xml:space="preserve"> The stand-alone dataset can be used for evaluation or training purposes for classification tasks, to support the development of methodology that can automatically classify EBS AMR data, and to facilitate relevant epidemic intelligence activities for AMR across the One Health domains.</v>
          </cell>
          <cell r="G21" t="str">
            <v>CC BY-NC-ND license</v>
          </cell>
        </row>
        <row r="22">
          <cell r="F22" t="str">
            <v xml:space="preserve"> The models trained with this data are available for use for evaluation or training purposes for classification tasks. They can also be used to support the development of methodology that can automatically classify EBS AMR data, hence facilitate relevant epidemic intelligence activities for AMR across the One Health domains.</v>
          </cell>
          <cell r="G22" t="str">
            <v>CC BY-NC-ND license</v>
          </cell>
        </row>
        <row r="23">
          <cell r="F23" t="str">
            <v xml:space="preserve"> Yes, the authors require that the following acknowledgement be used when using the dataset: "This study was partially funded by EU grant 874850 MOOD and is catalogued as MOOD052. The contents of this publication are the sole responsibility of the authors and do not necessarily reﬂect the views of the European Commission."</v>
          </cell>
          <cell r="G23" t="str">
            <v>CC BY-NC-ND license</v>
          </cell>
        </row>
        <row r="24">
          <cell r="F24" t="str">
            <v xml:space="preserve"> No, the dataset is publicly available online and does not require a license or distribution from a third party.</v>
          </cell>
          <cell r="G24" t="str">
            <v>No</v>
          </cell>
        </row>
        <row r="25">
          <cell r="F25" t="str">
            <v xml:space="preserve"> No, there is no deprecation plan or policy of the dataset mentioned in the context.</v>
          </cell>
          <cell r="G25" t="str">
            <v>CC BY-NC-ND license</v>
          </cell>
        </row>
        <row r="27">
          <cell r="F27" t="str">
            <v xml:space="preserve"> The dataset is composed of eight files: D1.1 - ProMED_url_thematic_classification.csv, D1.2 - PADI-web_thematic_classification.csv, D1.3 - HealthMap_url_thematic_classification.csv, D1.4 - MedISys_url_thematic_classification.csv, D2.1 - ProMED_url_host_classification.csv, D2.2 - PADI-web_host_classification.csv, D2.3 - HealthMap_url_host_classification.csv, and D2.4 - MedISys_url_host_classification.csv.</v>
          </cell>
          <cell r="G27" t="str">
            <v>D1 .1 -ProMED_url_thematic_classification.csv D1 .2 -PADI-web_thematic_classification.csv D1 .3 -HealthMap_url_thematic_classification.csv D1 .4 -MedISys_url_thematic_classification.csv D2 .1 -ProMED_url_host_classification.csv D2 .2 -PADI-web_host_classification.csv D</v>
          </cell>
        </row>
        <row r="28">
          <cell r="F28" t="str">
            <v xml:space="preserve"> The dataset is composed of four files from four different EBS systems: ProMED, PADI-web, HealthMap and MedISys. Each file is labeled according to its source and contains 100 articles. The first file, D1.1, is labeled ProMED_url_thematic_classification.csv and is used for thematic classification with three main classes (New Information, General Information, Not Relevant + Don't Know class). The second file, D1.2, is labeled PADI-web_thematic_classification.csv and is also used for thematic classification with the same three main classes. The third file, D1.3, is labeled HealthMap_url_thematic_classification.csv and is also used for thematic classification with the same three main classes. The fourth file, D1.4, is labeled MedISys_url_thematic_classification.csv and is also used for thematic classification with the same three main classes. The fifth file, D2.1, is labeled ProMED_url_host_classification.csv and is used for host classification with seven classes (Humans, Human-animal, Animals, Human-food, Food,</v>
          </cell>
          <cell r="G28" t="str">
            <v>D1 .1 -ProMED_url_thematic_classification.csv D1 .2 -PADI-web_thematic_classification.csv D1 .3 -HealthMap_url_thematic_classification.csv D1 .4 -MedISys_url_thematic_classification.csv</v>
          </cell>
        </row>
        <row r="30">
          <cell r="F30" t="str">
            <v xml:space="preserve"> Yes, Tables 1 and 2 detail the distribution per class for D1 and D2 corpora, respectively. The tables indicate as a percentage how frequent a specific class is in a given surveillance system.</v>
          </cell>
          <cell r="G30" t="str">
            <v>The main objective of the hackathon task was to develop and test classification approaches that automatically identified AMR events and reservoirs of concern (e.g. animal, food, environment, etc.) and classified these events by their relevance for epidemic intelligence purposes.</v>
          </cell>
        </row>
        <row r="31">
          <cell r="F31" t="str">
            <v xml:space="preserve"> No, there is no explicit consistency rule for the data.</v>
          </cell>
          <cell r="G31" t="str">
            <v>No</v>
          </cell>
        </row>
        <row r="32">
          <cell r="F32" t="str">
            <v xml:space="preserve"> No, the paper does not mention any recommended data split of the dataset.</v>
          </cell>
          <cell r="G32" t="str">
            <v>Not Helpful</v>
          </cell>
        </row>
        <row r="34">
          <cell r="F34" t="str">
            <v xml:space="preserve"> The dataset was collected from four event based surveillance (EBS) systems: ProMED, PADI-web, HealthMap and MedISys. Data was collected from news items, scientific publications and national or international reports. The data was then manually annotated by AMR experts with the help of an annotation guideline.</v>
          </cell>
          <cell r="G34" t="str">
            <v>The corpus dataset was curated and mined by the TETIS team from four EBS-systems: ProMED, PADI-web, HealthMap and MedISys.</v>
          </cell>
        </row>
        <row r="35">
          <cell r="F35" t="str">
            <v xml:space="preserve"> Manual Human Curator</v>
          </cell>
          <cell r="G35" t="str">
            <v>Manual Human Curator</v>
          </cell>
        </row>
        <row r="36">
          <cell r="F36" t="str">
            <v xml:space="preserve"> Not provided</v>
          </cell>
          <cell r="G36" t="str">
            <v>June 2022</v>
          </cell>
        </row>
        <row r="38">
          <cell r="F38" t="str">
            <v xml:space="preserve"> Not provided</v>
          </cell>
          <cell r="G38" t="str">
            <v>ProMED, PADI-web, HealthMap and MedISys</v>
          </cell>
        </row>
        <row r="40">
          <cell r="F40" t="str">
            <v xml:space="preserve"> Yes</v>
          </cell>
        </row>
        <row r="41">
          <cell r="F41" t="str">
            <v xml:space="preserve"> The data has been collected from four Event Based Surveillance (EBS) Systems: ProMED, PADI-web, HealthMap and MedISys. ProMED is a program of the International Society for Infectious Diseases (ISID) launched in 1994 as an Internet service to identify unusual health events related to emerging and re-emerging infectious diseases and toxins affecting humans, animals and plants. PADI-web is an automated EBS tool that monitors the Google News aggregator in sixteen languages. HealthMap is an automated and curated aggregator of a broad range of data sources, such as Twitter, Google News, Baidu and SoSo news aggregators and ProMED in nine languages. MedISys is an EBS system developed by the European Commission Directorate General for Health and Consumers (DG SANCO) and the Joint Research Centre (JRC) of the European Commission.</v>
          </cell>
          <cell r="G41" t="str">
            <v>ProMED, PADI-web, HealthMap and MedISys</v>
          </cell>
        </row>
        <row r="42">
          <cell r="F42" t="str">
            <v>ProMED, PADI-web, HealthMap and MedISys</v>
          </cell>
          <cell r="G42" t="str">
            <v>ProMED, PADI-web, HealthMap and MedISys</v>
          </cell>
        </row>
        <row r="43">
          <cell r="F43" t="str">
            <v xml:space="preserve"> I don't know.</v>
          </cell>
          <cell r="G43" t="str">
            <v>I don't know</v>
          </cell>
        </row>
        <row r="44">
          <cell r="F44" t="str">
            <v xml:space="preserve"> I don't know.</v>
          </cell>
          <cell r="G44" t="str">
            <v>not provided</v>
          </cell>
        </row>
        <row r="45">
          <cell r="F45" t="str">
            <v xml:space="preserve"> The team who collected the data was the TETIS team.</v>
          </cell>
          <cell r="G45" t="str">
            <v>TETIS</v>
          </cell>
        </row>
        <row r="46">
          <cell r="F46" t="str">
            <v xml:space="preserve"> The data was collected by an internal team.</v>
          </cell>
          <cell r="G46" t="str">
            <v>The corpus dataset was curated and mined by the TETIS team</v>
          </cell>
        </row>
        <row r="47">
          <cell r="F47" t="str">
            <v xml:space="preserve"> No, there is no demographic information of the data collected by the internal team.</v>
          </cell>
          <cell r="G47" t="str">
            <v>No</v>
          </cell>
        </row>
        <row r="49">
          <cell r="F49" t="str">
            <v xml:space="preserve"> The data was annotated by relevance for epidemic intelligence (EI) purposes with the help of AMR experts and an annotation guideline. The annotation process involved an iterative process made of multiple annotation rounds. The first annotation round was done by three AMR experts, who were asked to annotate a sample of 25 AMR related articles extracted from PADI-web. The experts discussed the annotation disagreements, and decided on a reformulation and reﬁnement of the deﬁnitions and on the merging of labels. The goal was to make the guideline as generic as possible and as precise as necessary so that non-expert annotators could annotate the AMR articles without running into ambiguity issues. After this first round of annotations the modiﬁcations were integrated in order to established a ﬁnal guideline version. The sub-datasets coming from each of different EBS-systems were then annotated according to the guidelines.</v>
          </cell>
          <cell r="G49" t="str">
            <v>The four sub-datasets coming from each of different EBS-systems annotated according to the guidelines describing in the following sub-sections.</v>
          </cell>
        </row>
        <row r="50">
          <cell r="F50" t="str">
            <v xml:space="preserve"> Entity annotation</v>
          </cell>
          <cell r="G50" t="str">
            <v>Others</v>
          </cell>
        </row>
        <row r="51">
          <cell r="F51" t="str">
            <v xml:space="preserve">
The dataset has two labels: Thematic Classification and Host Resistance and Pathogen Classification. 
Thematic Classification has three labels: New Information, General Information, and Not Relevant + Don't Know class. 
Host Resistance and Pathogen Classification has seven labels: Humans, Human-animal, Animals, Human-food, Food, Environment, and All.</v>
          </cell>
          <cell r="G51" t="str">
            <v>New Information, General Information, Not Relevant + Don’t Know class and Humans, Human-animal, Animals, Human-food, Food, Environment, and All</v>
          </cell>
        </row>
        <row r="52">
          <cell r="F52" t="str">
            <v xml:space="preserve"> The data was annotated by three AMR experts.</v>
          </cell>
          <cell r="G52" t="str">
            <v>AMR experts</v>
          </cell>
        </row>
        <row r="53">
          <cell r="F53" t="str">
            <v xml:space="preserve"> An internal team.</v>
          </cell>
          <cell r="G53" t="str">
            <v>an external team</v>
          </cell>
        </row>
        <row r="54">
          <cell r="F54" t="str">
            <v xml:space="preserve"> No, there is no demographic information about the team who annotated the data.</v>
          </cell>
          <cell r="G54" t="str">
            <v>No</v>
          </cell>
        </row>
        <row r="55">
          <cell r="F55" t="str">
            <v xml:space="preserve"> AMR experts and an annotation guideline.</v>
          </cell>
          <cell r="G55" t="str">
            <v>An annotation guideline</v>
          </cell>
        </row>
        <row r="56">
          <cell r="F56" t="str">
            <v xml:space="preserve"> The dataset has been validated using three evaluation metrics: Precision, recall, and F-measure. The evaluation was done using a 5-cross-validation, where the data was split into five same-sized parts containing the same ratio of output classes. A 80%-train / 20%-test split was used, where the train set was composed of 8 of those parts while the test set was composed of the remaining two. Additionally, a multi-class resampling method called SMOTETomek was used during the training, which combines over and under-sampling techniques employed in the literature to alter the class distributions toward a more balanced distribution.</v>
          </cell>
          <cell r="G56" t="str">
            <v>5-cross-validation</v>
          </cell>
        </row>
        <row r="70">
          <cell r="F70" t="str">
            <v xml:space="preserve"> No, the authors declare that they have no known competing financial interests or personal relationships that could have appeared to influence the work reported in this paper. Additionally, the data is anonymized by removing user names and the names of people in transcripts, and a multi-class resampling method called SMOTETomek is used during the training to alter the class distributions toward a more balanced distribution.</v>
          </cell>
          <cell r="G70" t="str">
            <v>The datasets composed by both labeled corpora and annotation guidelines are publicly available online.3</v>
          </cell>
        </row>
        <row r="74">
          <cell r="F74" t="str">
            <v xml:space="preserve"> No, the data is anonymized by removing the user names and the names of person in transcripts (using SpaCy for name recognition).</v>
          </cell>
          <cell r="G74" t="str">
            <v>The content of media data is anonymized by removing the user names and the names of person in transcripts (using SpaCy for name recognition).</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
      <sheetName val="Results-high"/>
      <sheetName val="Results-low"/>
    </sheetNames>
    <sheetDataSet>
      <sheetData sheetId="0">
        <row r="10">
          <cell r="B10">
            <v>0.55172413793103448</v>
          </cell>
        </row>
      </sheetData>
      <sheetData sheetId="1" refreshError="1"/>
      <sheetData sheetId="2">
        <row r="2">
          <cell r="F2" t="str">
            <v xml:space="preserve"> The purpose of the dataset is to identify and extract the opinions and attitudes of Kosovo citizens expressed on Facebook about the Covid-19 pandemics by manually annotating comments according to their sentiment, such as positive, negative, and neutral. It can also be used by the research community in the fields of machine learning, information retrieval, affective computing, as well as by public agencies and decision makers.</v>
          </cell>
          <cell r="G2" t="str">
            <v>it is a dataset for sentiment analysis of social media comments in Albanian language that would push forward the research in the field of sentiment analysis for low-resource languages; (2) this dataset could serve as a standard benchmark for testing performance of the existing and new machine learning methods and techniques as it is curated and human annotated.</v>
          </cell>
        </row>
        <row r="3">
          <cell r="F3" t="str">
            <v xml:space="preserve"> sentiment-analysis, information-retrieval, text-mining</v>
          </cell>
          <cell r="G3" t="str">
            <v>sentiment-analysis</v>
          </cell>
        </row>
        <row r="4">
          <cell r="F4" t="str">
            <v xml:space="preserve"> sentiment analysis, low-resource languages, machine learning, information retrieval, affective computing, public agencies, decision makers, Covid-19 pandemics, Albanian language, Facebook, NIPHK Institute, data transparency, data reproduction, policy making.</v>
          </cell>
          <cell r="G4" t="str">
            <v>neutral, positive, negative</v>
          </cell>
        </row>
        <row r="5">
          <cell r="F5" t="str">
            <v xml:space="preserve"> The dataset intends to fill the gap of labeled data for low-resource languages in the fields of machine learning, information retrieval, affective computing, and education. It can also be used by public agencies and decision makers to prevent the distribution of fake news in social media during crisis situations.</v>
          </cell>
          <cell r="G5" t="str">
            <v>(1) it is a dataset for sentiment analysis of social media comments in Albanian language that would push forward the research in the field of sentiment analysis for low-resource languages; (2) this dataset could serve as a standard benchmark for testing performance of the existing and new machine learning methods and techniques as it is curated and human annotated.</v>
          </cell>
        </row>
        <row r="7">
          <cell r="F7" t="str">
            <v xml:space="preserve"> The dataset is recommended for applications in the fields of machine learning, information retrieval, affective computing, and education, as well as for public agencies and decision makers to prevent the distribution of fake news in social media during crisis situations such as the current Covid-19 pandemics.</v>
          </cell>
          <cell r="G7" t="str">
            <v>(multilingual) sentiment analysis, opinion mining, performance analysis of deep/machine learning models and techniques</v>
          </cell>
        </row>
        <row r="8">
          <cell r="F8" t="str">
            <v xml:space="preserve"> No</v>
          </cell>
          <cell r="G8" t="str">
            <v>no</v>
          </cell>
        </row>
        <row r="9">
          <cell r="F9" t="str">
            <v>No: No</v>
          </cell>
          <cell r="G9" t="str">
            <v>A Deep Learning Sentiment Analyser for Social Media Comments in Low-Resource Languages</v>
          </cell>
        </row>
        <row r="11">
          <cell r="F11" t="str">
            <v xml:space="preserve"> Fatbardh Kadriu, University of Prishtina, Prishtina 10000, Kosovo; Doruntina Murtezaj, University of Prishtina, Prishtina 10000, Kosovo; Fatbardh Gashi, University of Prishtina, Prishtina 10000, Kosovo; Lule Ahmedi, University of Prishtina, Prishtina 10000, Kosovo; Arianit Kurti, University of Prishtina, Prishtina 10000, Kosovo; Zenun Kastrati, Linnaeus University, Växjö 351 95, Sweden</v>
          </cell>
          <cell r="G11" t="str">
            <v>Fatbardh Kadriu, Doruntina Murtezaj, Fatbardh Gashi, Lule Ahmedi, Arianit Kurti, Zenun Kastrati</v>
          </cell>
        </row>
        <row r="12">
          <cell r="F12" t="str">
            <v xml:space="preserve"> No, this research did not receive any specific grant from funding agencies in the public, commercial, or not-for-profit sectors.</v>
          </cell>
          <cell r="G12" t="str">
            <v>This research did not receive any specific grant from funding agencies in the public, commercial, or not-for-profit sectors.</v>
          </cell>
        </row>
        <row r="13">
          <cell r="F13" t="str">
            <v xml:space="preserve"> Unknown</v>
          </cell>
          <cell r="G13" t="str">
            <v>public</v>
          </cell>
        </row>
        <row r="14">
          <cell r="F14" t="str">
            <v xml:space="preserve"> Not provided</v>
          </cell>
          <cell r="G14" t="str">
            <v>not provided</v>
          </cell>
        </row>
        <row r="15">
          <cell r="F15" t="str">
            <v xml:space="preserve"> The maintainers of the dataset are Fatbardh Kadriu, Doruntina Murtezaj, Fatbardh Gashi, Lule Ahmedi, Arianit Kurti, and Zenun Kastrati.</v>
          </cell>
          <cell r="G15" t="str">
            <v>Fatbardh Kadriu, Doruntina Murtezaj, Fatbardh Gashi, Lule Ahmedi, Arianit Kurti, Zenun Kastrati</v>
          </cell>
        </row>
        <row r="16">
          <cell r="F16" t="str">
            <v xml:space="preserve"> No.</v>
          </cell>
          <cell r="G16" t="str">
            <v>The dataset described in this article is completely anonymized and does not contain any personal data, and thus we are complying with the regulations provided by the platform owner.</v>
          </cell>
        </row>
        <row r="17">
          <cell r="F17" t="str">
            <v xml:space="preserve"> No.</v>
          </cell>
          <cell r="G17" t="str">
            <v>no</v>
          </cell>
        </row>
        <row r="18">
          <cell r="F18" t="str">
            <v xml:space="preserve"> No.</v>
          </cell>
          <cell r="G18" t="str">
            <v>no</v>
          </cell>
        </row>
        <row r="19">
          <cell r="F19" t="str">
            <v xml:space="preserve"> No.</v>
          </cell>
          <cell r="G19" t="str">
            <v>Yes</v>
          </cell>
        </row>
        <row r="21">
          <cell r="F21" t="str">
            <v xml:space="preserve"> The rights of the stand-alone dataset include the right to use the dataset for research purposes, the right to share the dataset with the research community, and the right to use the dataset to inform policy making.</v>
          </cell>
          <cell r="G21" t="str">
            <v>The dataset described in this article is completely anonymized and does not contain any personal data, and thus we are complying with the regulations provided by the platform owner.</v>
          </cell>
        </row>
        <row r="22">
          <cell r="F22" t="str">
            <v xml:space="preserve"> The rights of the models trained with this data are not specified in the context given.</v>
          </cell>
          <cell r="G22" t="str">
            <v>The dataset described in this article is completely anonymized and does not contain any personal data, and thus we are complying with the regulations provided by the platform owner.</v>
          </cell>
        </row>
        <row r="23">
          <cell r="F23" t="str">
            <v xml:space="preserve"> Yes, the authors of the dataset require that the following attribution notice be used when using the dataset: "This dataset is created by Fatbardh Kadriu, Doruntina Murtezaj, Fatbardh Gashi, Lule Ahmedi, Arianit Kurti, and Zenun Kastrati from the University of Prishtina and Linnaeus University."</v>
          </cell>
          <cell r="G23" t="str">
            <v>no</v>
          </cell>
        </row>
        <row r="24">
          <cell r="F24" t="str">
            <v xml:space="preserve"> No, the authors of the dataset are in charge of the license and distribution of the dataset.</v>
          </cell>
          <cell r="G24" t="str">
            <v>no</v>
          </cell>
        </row>
        <row r="25">
          <cell r="F25" t="str">
            <v xml:space="preserve"> No, there is no deprecation plan or policy of the dataset.</v>
          </cell>
          <cell r="G25" t="str">
            <v>No</v>
          </cell>
        </row>
        <row r="27">
          <cell r="F27" t="str">
            <v xml:space="preserve"> The dataset is composed of a CSV file, an Excel file, and supplementary files hosted in the Mendeley Data repository.</v>
          </cell>
          <cell r="G27" t="str">
            <v>Excel file containing all the comments from the given post. In addition, the Excel file is enriched with four other attributes and metadata related to the Facebook post. In the second step, five other attributes related to the Covid-19 statistics are added by reading the content of the Facebook post. The third step entails the merge of all Excel files for each Facebook post into a single Excel file. Next the aggregated data set has been processed by anonymizing and removing duplicates as well as profanity language. During the fifth step, three researchers have independently assessed the sentiment of the comments in the dataset</v>
          </cell>
        </row>
        <row r="28">
          <cell r="F28" t="str">
            <v xml:space="preserve"> No, this article does not provide a description of each file the dataset is composed of.</v>
          </cell>
          <cell r="G28" t="str">
            <v>The names of all attributes of the dataset and their respective descriptions are presented in Table 1.</v>
          </cell>
        </row>
        <row r="30">
          <cell r="F30" t="str">
            <v xml:space="preserve"> Yes, Table 3 shows the number of comments for each sentiment class and their respective percentages. Table 7 shows the number of comments in each sentiment class, distributed over months.</v>
          </cell>
          <cell r="G30" t="str">
            <v>The names of all attributes of the dataset and their respective descriptions are presented in Table 1.</v>
          </cell>
        </row>
        <row r="31">
          <cell r="F31" t="str">
            <v xml:space="preserve"> No, there is no explicit consistency rule for the data.</v>
          </cell>
          <cell r="G31" t="str">
            <v>No</v>
          </cell>
        </row>
        <row r="32">
          <cell r="F32" t="str">
            <v xml:space="preserve"> No, the paper does not mention any recommended data split of the dataset.</v>
          </cell>
          <cell r="G32" t="str">
            <v>Not mentioned</v>
          </cell>
        </row>
        <row r="34">
          <cell r="F34" t="str">
            <v xml:space="preserve"> The dataset was collected from the National Institute of Public Health of Kosovo (NIPHK) Facebook site from March 12, 2020, when the first case of Covid-19 was confirmed in Kosovo, until August 31, 2020. Comments were collected using the Comment Exporter tool and were in Albanian language. The dataset contains a total of 10,132 comments.</v>
          </cell>
          <cell r="G34" t="str">
            <v>The initial step is extraction of the comments from Facebook using the Comment Exporter tool.</v>
          </cell>
        </row>
        <row r="35">
          <cell r="F35" t="str">
            <v xml:space="preserve"> Web Scrapping</v>
          </cell>
          <cell r="G35" t="str">
            <v>User-generated content data</v>
          </cell>
        </row>
        <row r="36">
          <cell r="F36" t="str">
            <v xml:space="preserve"> March 12, 2020 - August 31, 2020</v>
          </cell>
          <cell r="G36" t="str">
            <v>March 12 till August 31, 2020</v>
          </cell>
        </row>
        <row r="38">
          <cell r="F38" t="str">
            <v xml:space="preserve"> Kosovo</v>
          </cell>
          <cell r="G38" t="str">
            <v>Facebook</v>
          </cell>
        </row>
        <row r="40">
          <cell r="F40" t="str">
            <v xml:space="preserve"> Yes</v>
          </cell>
          <cell r="G40" t="str">
            <v>Yes</v>
          </cell>
        </row>
        <row r="41">
          <cell r="F41" t="str">
            <v xml:space="preserve"> The data has been collected from the official Facebook page of the National Institute of Public Health of Kosovo (NIPHK). It contains 10,132 comments in the Albanian language that are human-annotated for sentiment analysis.</v>
          </cell>
          <cell r="G41" t="str">
            <v>Facebook</v>
          </cell>
        </row>
        <row r="42">
          <cell r="F42" t="str">
            <v xml:space="preserve"> The National Institute of Public Health of Kosovo (NIPHK) Facebook page.</v>
          </cell>
          <cell r="G42" t="str">
            <v>Facebook</v>
          </cell>
        </row>
        <row r="43">
          <cell r="F43" t="str">
            <v xml:space="preserve"> It is possible that there could be noise or potential bias in the data source, as it is a Facebook page and not a scientific study.</v>
          </cell>
          <cell r="G43" t="str">
            <v>I don't know</v>
          </cell>
        </row>
        <row r="44">
          <cell r="F44" t="str">
            <v xml:space="preserve"> No, I don't know of any link to access the data source.</v>
          </cell>
          <cell r="G44" t="str">
            <v>not provided</v>
          </cell>
        </row>
        <row r="45">
          <cell r="F45" t="str">
            <v xml:space="preserve"> The team who collected the data was Fatbardh Kadriu, Doruntina Murtezaj, Fatbardh Gashi, Lule Ahmedi, Arianit Kurti, and Zenun Kastrati from the University of Prishtina and Linnaeus University.</v>
          </cell>
          <cell r="G45" t="str">
            <v>Fatbardh Kadriu, Doruntina Murtezaj, Fatbardh Gashi, Lule Ahmedi, Arianit Kurti, Zenun Kastrati</v>
          </cell>
        </row>
        <row r="46">
          <cell r="F46" t="str">
            <v xml:space="preserve"> The data was collected by an internal team.</v>
          </cell>
          <cell r="G46" t="str">
            <v>an external team</v>
          </cell>
        </row>
        <row r="47">
          <cell r="F47" t="str">
            <v xml:space="preserve"> No, there is no demographic information of the data collected by the internal team.</v>
          </cell>
          <cell r="G47" t="str">
            <v>No</v>
          </cell>
        </row>
        <row r="49">
          <cell r="F49" t="str">
            <v xml:space="preserve"> The data of the dataset has been annotated by three researchers independently assessing the sentiment of the comments in the dataset. Assessment has been done using three sentiment polarities: positive, negative, and neutral. The final sentiment of each comment is assigned using a majority voting scheme.</v>
          </cell>
          <cell r="G49" t="str">
            <v>Three annotators have annotated the same data samples independently and an inter-annotator disagreement is calculated using Pearson correlation.</v>
          </cell>
        </row>
        <row r="50">
          <cell r="F50" t="str">
            <v xml:space="preserve"> Content and textual categorization</v>
          </cell>
          <cell r="G50" t="str">
            <v>Image and video annotations</v>
          </cell>
        </row>
        <row r="51">
          <cell r="F51" t="str">
            <v xml:space="preserve"> The dataset contains 12 attributes. The names of all attributes of the dataset and their respective descriptions are presented in Table 1. The attributes are: Comment ID, Comment Text, Post ID, Post URL, Post Text, Post Date, Post Type, Post Shares, Post Likes, Post Comments, Post Reactions, and Post Impressions.</v>
          </cell>
          <cell r="G51" t="str">
            <v>positive, negative, neutral</v>
          </cell>
        </row>
        <row r="52">
          <cell r="F52" t="str">
            <v xml:space="preserve"> Three researchers have independently annotated the same data samples.</v>
          </cell>
          <cell r="G52" t="str">
            <v>Three annotators</v>
          </cell>
        </row>
        <row r="53">
          <cell r="F53" t="str">
            <v xml:space="preserve"> An internal team.</v>
          </cell>
          <cell r="G53" t="str">
            <v>an internal team</v>
          </cell>
        </row>
        <row r="54">
          <cell r="F54" t="str">
            <v xml:space="preserve"> No, there is no demographic information about the team who annotate the data.</v>
          </cell>
          <cell r="G54" t="str">
            <v>No</v>
          </cell>
        </row>
        <row r="55">
          <cell r="F55" t="str">
            <v xml:space="preserve"> Three researchers have independently assessed the sentiment of the comments in the dataset.</v>
          </cell>
          <cell r="G55" t="str">
            <v>Comment Exporter</v>
          </cell>
        </row>
        <row r="56">
          <cell r="F56" t="str">
            <v xml:space="preserve"> The accuracy of the manually labeled data was assessed using Annotation Redundancy with Targeted Quality Assurance. Three annotators have annotated the same data samples independently and an inter-annotator disagreement was calculated using Pearson correlation. Correlation values between the three annotators were also calculated and Fleiss’s Kappa statistical measure was used to calculate the reliability of the agreement between the annotators.</v>
          </cell>
          <cell r="G56" t="str">
            <v>Annotation Redundancy with Targeted Quality Assurance</v>
          </cell>
        </row>
        <row r="73">
          <cell r="F73" t="str">
            <v xml:space="preserve"> No, the authors have declared that they have no known competing financial interests or personal relationships which have or could be perceived to have influenced the work reported in this article. Additionally, the data has been collected according to the data owner terms of service and is completely anonymized and does not contain any personal data.</v>
          </cell>
          <cell r="G73" t="str">
            <v>The dataset described in this article is completely anonymized and does not contain any personal data, and thus we are complying with the regulations provided by the platform owner.</v>
          </cell>
        </row>
        <row r="74">
          <cell r="F74" t="str">
            <v xml:space="preserve"> No, the dataset is completely anonymized and does not contain any personal data, so it is compliant with the regulations provided by the platform owner.</v>
          </cell>
          <cell r="G74" t="str">
            <v>The dataset described in this article is completely anonymized and does not contain any personal data, and thus we are complying with the regulations provided by the platform owner.</v>
          </cell>
        </row>
        <row r="75">
          <cell r="F75" t="str">
            <v xml:space="preserve"> No, the dataset is balanced. The neutral comments dominate, whereas the positive comments are less represented. The annotators 1 and 3 have the strongest agreement with a correlation of 0.62. Fleiss’s Kappa coeﬃcient for the three annotators is 0.60, which is considered a moderate agreement. The maximum number of neutral and negative comments is reported in July, and the highest number of positive comments is in May.</v>
          </cell>
          <cell r="G75" t="str">
            <v>neutral comments dominate, whereas the positive comments are less represented</v>
          </cell>
        </row>
        <row r="76">
          <cell r="F76" t="str">
            <v xml:space="preserve"> No, the dataset is completely anonymized and does not contain any personal data. It is also curated and human annotated to remove any profanity language.</v>
          </cell>
          <cell r="G76" t="str">
            <v>The dataset described in this article is completely anonymized and does not contain any personal data, and thus we are complying with the regulations provided by the platform owner.</v>
          </cell>
        </row>
        <row r="77">
          <cell r="F77" t="str">
            <v xml:space="preserve"> No, the dataset is completely anonymized and does not contain any personal data, and thus we are complying with the regulations provided by the platform owner.</v>
          </cell>
          <cell r="G77" t="str">
            <v>The dataset described in this article is completely anonymized and does not contain any personal data, and thus we are complying with the regulations provided by the platform owner.</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low"/>
      <sheetName val="Results-high"/>
    </sheetNames>
    <sheetDataSet>
      <sheetData sheetId="0">
        <row r="2">
          <cell r="F2" t="str">
            <v xml:space="preserve"> The dataset is intended to help researchers in computer vision develop new algorithms for prostate cancer detection, serve as a training dataset for developing new algorithms, and serve as a test set for trained algorithms to check their performance and generalizability.</v>
          </cell>
          <cell r="G2" t="str">
            <v>To increase the availability of open data and code for prostate and PCa segmentation</v>
          </cell>
          <cell r="H2" t="str">
            <v>This dataset provides segmentations from experts in urologic radiology which were exten- sively reviewed to ensure high quality segmentations. Researchers in computer vision, who do not have access to medical data and/or radiologic expertise, can therefore use it to de- velop new algorithms for prostate cancer detection</v>
          </cell>
        </row>
        <row r="3">
          <cell r="F3" t="str">
            <v xml:space="preserve"> classification, object-detection, image-segmentation</v>
          </cell>
          <cell r="G3" t="str">
            <v>image-segmentation</v>
          </cell>
          <cell r="H3" t="str">
            <v>object-detection, image-segmentation</v>
          </cell>
        </row>
        <row r="4">
          <cell r="F4" t="str">
            <v xml:space="preserve"> Prostate cancer, MRI, segmentation, deep learning, 3T MRI, PI-RADS, Charité Universitätsmedizin Berlin, NIfTI, axial plane, expert annotations, anatomical zones, tumor zones, open source, training data, validation, test dataset, overfitting, open data, code, 3.0 Tesla, DWI, ADC, b-values, PACS, Siemens VIDA, Skyra, B1 shimming.</v>
          </cell>
          <cell r="G4" t="str">
            <v>MRI, prostate, cancer, PI-RADS, MRI, PI-RADS, MRI, PI-RADS, PI-RADS, PI-RADS, PI-RADS, PI-RADS, PI-RADS, PI-RADS, PI-RADS, PI-RADS, PI-RADS, PI-RADS, PI-RADS, PI-RADS, PI-RADS, PI-RADS, PI-RADS, PI-RADS,</v>
          </cell>
        </row>
        <row r="5">
          <cell r="F5" t="str">
            <v xml:space="preserve"> The dataset intends to fill the gaps in the availability of open data and code for prostate and PCa segmentation, and to increase the availability of expert-segmented representative datasets of 158 3T bpMRIs that conform to PI-RADS v2.1 guidelines.</v>
          </cell>
          <cell r="G5" t="str">
            <v>Expert annotated MRI datasets of confirmed prostate cancer are rare [8,12,13], but are needed to develop sufficient deep learning algorithms to assist radiologists and urologists in the detection and treatment of prostate cancer.</v>
          </cell>
          <cell r="H5" t="str">
            <v>Expert annotated MRI datasets of confirmed prostate cancer are rare [8 , 12 , 13] , but are needed to develop sufficient deep learning algorithms to assist radiologists and urologists in the de- tection and treatment of prostate cancer. </v>
          </cell>
        </row>
        <row r="7">
          <cell r="F7" t="str">
            <v xml:space="preserve"> The dataset is recommended for developing new algorithms for prostate cancer detection and for testing trained algorithms to check their performance and generalizability.</v>
          </cell>
          <cell r="G7" t="str">
            <v>The dataset can serve either as a training dataset for developing new algorithms or as a test set for trained algorithms to check their performance and generalizability.</v>
          </cell>
          <cell r="H7" t="str">
            <v>The dataset can serve either as a training dataset for developing new algorithms or as a test set for trained algorithms to check their performance and generalizability.</v>
          </cell>
        </row>
        <row r="8">
          <cell r="F8" t="str">
            <v xml:space="preserve"> No</v>
          </cell>
          <cell r="G8" t="str">
            <v>no</v>
          </cell>
          <cell r="H8" t="str">
            <v>No</v>
          </cell>
        </row>
        <row r="9">
          <cell r="F9" t="str">
            <v>No: UNSURE</v>
          </cell>
          <cell r="G9" t="str">
            <v>U-Net</v>
          </cell>
          <cell r="H9" t="str">
            <v>No</v>
          </cell>
        </row>
        <row r="11">
          <cell r="F11" t="str">
            <v xml:space="preserve"> Lisa C. Adams, Marcus R. Makowski, Günther Engel, Maximilian Rattunde, Felix Busch, Patrick Asbach, Stefan M. Niehues, Shankeeth Vinayahalingam, Bram van Ginneken, Geert Litjens, Keno K. Bressem</v>
          </cell>
          <cell r="G11" t="str">
            <v>Lisa C. Adams, Marcus R. Makowski, Günther Engel , Maximilian Rattunde, Felix Busch, Patrick Asbach, Stefan M. Niehues , Shankeeth Vinayahalingam, Bram van Ginneken, Geert Litjens, Keno K. Bressem</v>
          </cell>
          <cell r="H11" t="str">
            <v>Paper authors</v>
          </cell>
        </row>
        <row r="12">
          <cell r="F12" t="str">
            <v xml:space="preserve"> Yes, the Charité – Universitätsmedizin Berlin, the Berlin Institute of Health, and the Deutsche Forschungsgemeinschaft provided financial support for the creation of the dataset.</v>
          </cell>
          <cell r="G12" t="str">
            <v>Charité — Universitätsmedizin Berlin, the Berlin Institute of Health, and the Deutsche Forschungsgemeinschaft</v>
          </cell>
          <cell r="H12" t="str">
            <v>by the Charité—Universitätsmedizin Berlin, the Berlin Institute of Health, and the Deutsche Forschungsgemeinschaft</v>
          </cell>
        </row>
        <row r="13">
          <cell r="F13" t="str">
            <v xml:space="preserve"> Unknown</v>
          </cell>
          <cell r="G13" t="str">
            <v>public</v>
          </cell>
          <cell r="H13" t="str">
            <v>mixed</v>
          </cell>
        </row>
        <row r="14">
          <cell r="F14" t="str">
            <v xml:space="preserve"> Not provided.</v>
          </cell>
          <cell r="G14" t="str">
            <v>not provided</v>
          </cell>
          <cell r="H14" t="str">
            <v>not provided</v>
          </cell>
        </row>
        <row r="15">
          <cell r="F15" t="str">
            <v xml:space="preserve"> The maintainers of the dataset are Lisa C. Adams, Marcus R. Makowski, Günther Engel, Maximilian Rattunde, Felix Busch, Patrick Asbach, Stefan M. Niehues, Shankeeth Vinayahalingam, Bram van Ginneken, Geert Litjens, and Keno K. Bressem.</v>
          </cell>
          <cell r="G15" t="str">
            <v>Lisa C. Adams, Marcus R. Makowski, Günther Engel , Maximilian Rattunde, Felix Busch, Patrick Asbach, Stefan M. Niehues , Shankeeth Vinayahalingam, Bram van Ginneken, Geert Litjens, Keno K. Bressem</v>
          </cell>
          <cell r="H15" t="str">
            <v>same as authors</v>
          </cell>
        </row>
        <row r="16">
          <cell r="F16" t="str">
            <v xml:space="preserve"> No.</v>
          </cell>
          <cell r="G16" t="str">
            <v>a minimum age over 50 years, an MRI examination with a biparametric imaging protocol meeting PI-RADS v2 technical standards, a subsequent biopsy or surgery, and an available pathology report confirming a diagnosis of prostate cancer</v>
          </cell>
          <cell r="H16" t="str">
            <v>no</v>
          </cell>
        </row>
        <row r="17">
          <cell r="F17" t="str">
            <v xml:space="preserve"> No.</v>
          </cell>
          <cell r="G17" t="str">
            <v>no</v>
          </cell>
          <cell r="H17" t="str">
            <v>no</v>
          </cell>
        </row>
        <row r="19">
          <cell r="F19" t="str">
            <v xml:space="preserve"> Yes, the link to the repository is https://zenodo.org/record/3750862#.X_V6VVNKjIU</v>
          </cell>
          <cell r="G19" t="str">
            <v>https://prostate158.grand-challenge.org</v>
          </cell>
          <cell r="H19" t="str">
            <v>Repository name: https://zenodo.org Data identification number: 10.5281/zenodo.6481141 Access at: zenodo.org/record/6481141</v>
          </cell>
        </row>
        <row r="21">
          <cell r="F21" t="str">
            <v xml:space="preserve"> The rights of the stand-alone dataset are that it is open access under the CC BY license and can be used to develop new algorithms for prostate cancer detection. Researchers can use it to develop new algorithms or as a test set for trained algorithms to check their performance and generalizability. Part of the dataset remains as a hidden test dataset to be able to check the performance of the trained algorithms.</v>
          </cell>
          <cell r="G21" t="str">
            <v>CC BY license</v>
          </cell>
          <cell r="H21" t="str">
            <v>not provided</v>
          </cell>
        </row>
        <row r="22">
          <cell r="F22" t="str">
            <v xml:space="preserve"> The models trained with this data have the right to be used for prostate cancer detection and to be compared with other trained algorithms on https://prostate158.grand-challenge.org.</v>
          </cell>
          <cell r="G22" t="str">
            <v>CC BY license</v>
          </cell>
          <cell r="H22" t="str">
            <v>not provided</v>
          </cell>
        </row>
        <row r="23">
          <cell r="F23" t="str">
            <v xml:space="preserve"> Yes, the authors of the dataset require that the following attribution notice be used when using the dataset: "Dataset of prostate MRI annotated for anatomical zones and cancer, Lisa C. Adams, Marcus R. Makowski, Günther Engel, Maximilian Rattunde, Felix Busch, Patrick Asbach, Stefan M. Niehues, Shankeeth Vinayahalingam, Bram van Ginneken, Geert Litjens, Keno K. Bressem."</v>
          </cell>
          <cell r="G23" t="str">
            <v>CC BY license</v>
          </cell>
          <cell r="H23" t="str">
            <v>not provided</v>
          </cell>
        </row>
        <row r="24">
          <cell r="F24" t="str">
            <v xml:space="preserve"> No, the dataset is available under the CC BY license (http://creativecommons.org/licenses/by/4.0/), which does not require third parties to be in charge of the license or distribution.</v>
          </cell>
          <cell r="G24" t="str">
            <v>no</v>
          </cell>
          <cell r="H24" t="str">
            <v>not provided</v>
          </cell>
        </row>
        <row r="25">
          <cell r="F25" t="str">
            <v xml:space="preserve"> No, there is no deprecation plan or policy of the dataset.</v>
          </cell>
          <cell r="G25" t="str">
            <v>No</v>
          </cell>
          <cell r="H25" t="str">
            <v>no</v>
          </cell>
        </row>
        <row r="27">
          <cell r="F27" t="str">
            <v xml:space="preserve"> The dataset consists of 158 3.0 Tesla MRIs from patients with suspected prostate cancer annotated by two board-certified radiologists. The files include 020 adc.nii.gz, adc_tumor_reader1.nii.gz, adc_tumor_reader2.nii.gz, dwi.nii.gz, t2.nii.gz, t2_anatomy_reader1.nii.gz, t2_tumor_reader1.nii.gz, train.csv, and valid.csv.</v>
          </cell>
          <cell r="G27" t="str">
            <v>adc.nii.gz adc_tumor_reader1.nii.gz adc_tumor_reader2.nii.gz dwi.nii.gz t2.nii.gz t2_anatomy_reader1.nii.gz t2_tumor_reader1.nii.gz train.csv valid.csv</v>
          </cell>
          <cell r="H27" t="str">
            <v>→ adc.nii.gz # ADC sequence in NIfTI format → adc_tumor_reader1.nii.gz # Tumor segmentation of reader 1 → adc_tumor_reader2.nii.gz # Tumor segmentation of reader 2 → dwi.nii.gz # DWI sequence in NIfTI format → t2.nii.gz # T2W sequence in NIfTI format → t2_anatomy_reader1.nii.gz # Anatomy segmentation of reader 1 → t2_tumor_reader1.nii.gz # Tumor segmentation of reader 1</v>
          </cell>
        </row>
        <row r="28">
          <cell r="F28" t="str">
            <v xml:space="preserve"> No, this paper does not provide a description of each file the dataset is composed of. It provides a general overview of the dataset, including the inclusion criteria for patients, the MRI scanners used, and the types of sequences included. It also provides information about the expert annotations and the open source code available.</v>
          </cell>
          <cell r="G28" t="str">
            <v>adc.nii.gz # ADC sequence in NIfTI format adc_tumor_reader1.nii.gz # Tumor segmentation of reader 1 adc_tumor_reader2.nii.gz # Tumor segmentation of reader 2 dwi.nii.gz # DWI sequence in NIfTI format t2.nii.gz # T2W sequence in NIfTI format t2_anatomy_reader1.nii.g</v>
          </cell>
          <cell r="H28" t="str">
            <v>→ adc.nii.gz # ADC sequence in NIfTI format → adc_tumor_reader1.nii.gz # Tumor segmentation of reader 1 → adc_tumor_reader2.nii.gz # Tumor segmentation of reader 2 → dwi.nii.gz # DWI sequence in NIfTI format → t2.nii.gz # T2W sequence in NIfTI format → t2_anatomy_reader1.nii.gz # Anatomy segmentation of reader 1 → t2_tumor_reader1.nii.gz # Tumor segmentation of reader 1</v>
          </cell>
        </row>
        <row r="30">
          <cell r="F30" t="str">
            <v xml:space="preserve"> No, there are no relevant statistics or distributions of the dataset provided in the context.</v>
          </cell>
          <cell r="G30" t="str">
            <v>The dataset contains 3.0 Tesla MRI images of the prostate of patients with suspected prostate cancer.</v>
          </cell>
          <cell r="H30" t="str">
            <v>no</v>
          </cell>
        </row>
        <row r="31">
          <cell r="F31" t="str">
            <v xml:space="preserve"> No, the data does not have any explicit consistency rule.</v>
          </cell>
          <cell r="G31" t="str">
            <v>No</v>
          </cell>
          <cell r="H31" t="str">
            <v>no</v>
          </cell>
        </row>
        <row r="32">
          <cell r="F32" t="str">
            <v xml:space="preserve"> No, the paper does not mention any recommended data split of the dataset.</v>
          </cell>
          <cell r="G32" t="str">
            <v>No</v>
          </cell>
          <cell r="H32" t="str">
            <v>no</v>
          </cell>
        </row>
        <row r="34">
          <cell r="F34" t="str">
            <v xml:space="preserve"> The dataset consists of 158 3.0 Tesla MRIs from patients with suspected prostate cancer. Inclusion criteria for patients were a minimum age over 50 years, an MRI examination with a biparametric imaging protocol meeting PI-RADS v2 technical standards, a subsequent biopsy or surgery, and an available pathology report conﬁrming a diagnosis of prostate cancer. All examinations were performed at a German university hospital (Charité University Hospital Berlin) between 02/2016 and 01/2020.</v>
          </cell>
          <cell r="G34" t="str">
            <v>The data set consists of 158 MRI examinations, all performed on Siemens VIDA and Skyra (Siemens Healthineers, Erlangen, Germany) clinical 3.0-T scanners according to an acquisition protocol that meets current guidelines and using B1 shimming.</v>
          </cell>
          <cell r="H34" t="str">
            <v>The data set consists of 158 MRI examinations, all performed on Siemens VIDA and Skyra (Siemens Healthineers, Erlangen, Germany) clinical 3.0-T scanners according to an acquisition protocol that meets current guidelines and using B1 shimming.</v>
          </cell>
        </row>
        <row r="35">
          <cell r="F35" t="str">
            <v xml:space="preserve"> Physical data collection</v>
          </cell>
          <cell r="G35" t="str">
            <v>Manual Human Curator</v>
          </cell>
          <cell r="H35" t="str">
            <v>Physical data collection</v>
          </cell>
        </row>
        <row r="36">
          <cell r="F36" t="str">
            <v xml:space="preserve"> 02/2016 and 01/2020</v>
          </cell>
          <cell r="G36" t="str">
            <v>02/2016 and 01/2020</v>
          </cell>
          <cell r="H36" t="str">
            <v>between 02/2016 and 01/2020.</v>
          </cell>
        </row>
        <row r="38">
          <cell r="F38" t="str">
            <v xml:space="preserve"> Charité University Hospital Berlin, Germany</v>
          </cell>
          <cell r="G38" t="str">
            <v>Charité University Hospital Berlin</v>
          </cell>
          <cell r="H38" t="str">
            <v>German university hospital (CharitéUniversity Hospital Berlin)</v>
          </cell>
        </row>
        <row r="40">
          <cell r="F40" t="str">
            <v xml:space="preserve"> No</v>
          </cell>
          <cell r="G40" t="str">
            <v>No</v>
          </cell>
        </row>
        <row r="41">
          <cell r="F41" t="str">
            <v xml:space="preserve"> The data has been collected from 158 MRI examinations from patients with suspected prostate cancer at Charité University Hospital Berlin between 02/2016 and 01/2020.</v>
          </cell>
          <cell r="G41" t="str">
            <v>not provided</v>
          </cell>
        </row>
        <row r="42">
          <cell r="F42" t="str">
            <v xml:space="preserve"> Charité University Hospital Berlin</v>
          </cell>
          <cell r="G42" t="str">
            <v>MRI examinations</v>
          </cell>
          <cell r="H42" t="str">
            <v>Siemens VIDA and Skyra (Siemens Healthineers, Erlangen, Germany) clinical 3.0-T scanners</v>
          </cell>
        </row>
        <row r="43">
          <cell r="F43" t="str">
            <v xml:space="preserve"> No, Charité University Hospital Berlin is a reliable data source.</v>
          </cell>
          <cell r="G43" t="str">
            <v>I don't know</v>
          </cell>
        </row>
        <row r="44">
          <cell r="F44" t="str">
            <v xml:space="preserve"> No, I don't know of any link to access the data source.</v>
          </cell>
          <cell r="G44" t="str">
            <v>not provided</v>
          </cell>
        </row>
        <row r="45">
          <cell r="F45" t="str">
            <v xml:space="preserve"> Lisa C. Adams, Marcus R. Makowski, Günther Engel, Maximilian Rattunde, Felix Busch, Patrick Asbach, Stefan M. Niehues, Shankeeth Vinayahalingam, Bram van Ginneken, Geert Litjens, and Keno K. Bressem.</v>
          </cell>
          <cell r="G45" t="str">
            <v>CRediT</v>
          </cell>
          <cell r="H45" t="str">
            <v>Authors</v>
          </cell>
        </row>
        <row r="46">
          <cell r="F46" t="str">
            <v xml:space="preserve"> An internal team.</v>
          </cell>
          <cell r="G46" t="str">
            <v>an internal team</v>
          </cell>
          <cell r="H46" t="str">
            <v>Internal team</v>
          </cell>
        </row>
        <row r="47">
          <cell r="F47" t="str">
            <v xml:space="preserve"> No, there is no demographic information of an internal team provided in the context.</v>
          </cell>
          <cell r="G47" t="str">
            <v>No</v>
          </cell>
          <cell r="H47" t="str">
            <v>No</v>
          </cell>
        </row>
        <row r="49">
          <cell r="F49" t="str">
            <v xml:space="preserve"> The data of the dataset has been annotated by two board-certified radiologists with 6 and 8 years of experience. For T2W sequences, the central gland (central zone and transitional zone) and peripheral zone were segmented. If areas of suspected prostate cancer (PIRADS score of ≥ 4) were identified on examination, they were segmented in both the T2W sequences and ADC maps. The annotations were extensively reviewed to ensure high quality segmentations.</v>
          </cell>
          <cell r="G49" t="str">
            <v>The dataset consists of 158 3.0 Tesla MRIs from patients with suspected prostate cancer annotated by two board-certified radiologists.</v>
          </cell>
        </row>
        <row r="50">
          <cell r="F50" t="str">
            <v xml:space="preserve"> Semantic Segmentation</v>
          </cell>
          <cell r="G50" t="str">
            <v>Landmark and key-point</v>
          </cell>
        </row>
        <row r="51">
          <cell r="F51" t="str">
            <v xml:space="preserve">
The dataset is annotated for anatomical zones and cancer. The anatomical zones include the central gland (central zone and transitional zone) and peripheral zone. The cancer labels include areas of suspected prostate cancer (PIRADS score of ≥ 4).</v>
          </cell>
          <cell r="G51" t="str">
            <v>T2W sequences and ADC maps were annotated by two board-certified radiologists with 6 and 8 years of experience, respectively. For T2W sequences, the central gland (central zone and transitional zone) and peripheral zone were segmented. If areas of suspected prostate cancer (PIRADS score of  4) were identified on examination, they were segmented in both the T2W sequences and ADC maps. Because restricted diffusion is best seen in DWI images with high b-values, only these images were selected and all images with low b-value</v>
          </cell>
          <cell r="H51" t="str">
            <v>T2W sequences and ADC maps were annotated by two board-certified radiologists with 6 and 8 years of experience, respectively. For T2W sequences, the central gland (central zone and transitional zone) and peripheral zone were seg- mented. If areas of suspected prostate cancer (PIRADS score of ≥4) were identified on examination, they were segmented in both the T2W sequences and ADC maps.</v>
          </cell>
        </row>
        <row r="52">
          <cell r="F52" t="str">
            <v xml:space="preserve"> The data was annotated by two board-certified radiologists with 6 and 8 years of experience, respectively.</v>
          </cell>
          <cell r="G52" t="str">
            <v>two board-certified radiologists</v>
          </cell>
          <cell r="H52" t="str">
            <v>Two experts radiologist</v>
          </cell>
        </row>
        <row r="53">
          <cell r="F53" t="str">
            <v xml:space="preserve"> An internal team.</v>
          </cell>
          <cell r="G53" t="str">
            <v>two board-certified radiologists</v>
          </cell>
        </row>
        <row r="54">
          <cell r="F54" t="str">
            <v xml:space="preserve"> No, there is no demographic information about the team who annotate the data.</v>
          </cell>
          <cell r="G54" t="str">
            <v>No</v>
          </cell>
          <cell r="H54" t="str">
            <v>No</v>
          </cell>
        </row>
        <row r="55">
          <cell r="F55" t="str">
            <v xml:space="preserve"> ITK-Snap (version 3.8.0; www.itksnap.org)</v>
          </cell>
          <cell r="G55" t="str">
            <v>ITK-Snap</v>
          </cell>
          <cell r="H55" t="str">
            <v>ITK-Snap</v>
          </cell>
        </row>
        <row r="56">
          <cell r="F56" t="str">
            <v xml:space="preserve"> Non-parametric, non-uniform intensity normalization was performed for T2w images to remove distortion fields using the N4ITK algorithm (13). For DWI, only images with the highest b-value (1000) were extracted and the remaining images were discarded. Part of the dataset remains as a hidden test dataset to be able to check the performance of the trained algorithms on https://prostate158.grand-challenge.org. Researchers can compare trained algorithms under realistic conditions. As the test set remains hidden, overfitting on test data is not possible.</v>
          </cell>
          <cell r="G56" t="str">
            <v>a hidden test dataset to be able to check the performance of the trained algorithms on https://prostate158.grand-challenge.org</v>
          </cell>
          <cell r="H56" t="str">
            <v>not provided</v>
          </cell>
        </row>
        <row r="73">
          <cell r="F73" t="str">
            <v xml:space="preserve"> No, the authors declare that they have no known competing financial interests or personal relationships that could have appeared to influence the work reported in this paper. Additionally, the data was acquired from a German university hospital and all contributions to the study were approved by the Institutional Review Board.</v>
          </cell>
          <cell r="G73" t="str">
            <v>The dataset contains 3.0 Tesla MRI images of the prostate of patients with suspected prostate cancer.</v>
          </cell>
          <cell r="H73" t="str">
            <v>No</v>
          </cell>
        </row>
        <row r="74">
          <cell r="F74" t="str">
            <v xml:space="preserve"> No, the dataset does not appear to misrepresent any social group.</v>
          </cell>
          <cell r="G74" t="str">
            <v>No</v>
          </cell>
          <cell r="H74" t="str">
            <v>No</v>
          </cell>
        </row>
        <row r="75">
          <cell r="F75" t="str">
            <v xml:space="preserve"> No, the dataset is balanced with 158 3.0 Tesla MRIs from patients with suspected prostate cancer annotated by two board-certified radiologists. All examinations were performed at a German university hospital (Charité Universitätsmedizin Berlin) between 02/2016 and 01/2020. All MRI were acquired with two 3.0 Tesla MRI scanners (Siemens VIDA and Skyra, Siemens Healthineers, Erlangen, Germany). Axial T2W sequences and axial diffusion-weighted sequences (DWI) with apparent diffusion coeﬃcient maps (ADC) were included in the data set. T2W sequences and ADC maps were annotated by two board-certiﬁed radiologists with 6 and 8 years of experience, respectively. For T2W sequences, the central gland (central zone and transitional zone) and peripheral zone were segmented.</v>
          </cell>
          <cell r="G75" t="str">
            <v>No</v>
          </cell>
          <cell r="H75" t="str">
            <v>No</v>
          </cell>
        </row>
        <row r="76">
          <cell r="F76" t="str">
            <v xml:space="preserve"> No, there are no sensitive data or data that can be offensive for people in the dataset.</v>
          </cell>
          <cell r="G76" t="str">
            <v>No</v>
          </cell>
          <cell r="H76" t="str">
            <v>No</v>
          </cell>
        </row>
        <row r="77">
          <cell r="F77" t="str">
            <v xml:space="preserve"> No, the data is anonymized and all patient information is removed.</v>
          </cell>
          <cell r="G77" t="str">
            <v>Data were then anonymized and converted to NIfTI (Neuroimaging Informatics Technology Initiative) format</v>
          </cell>
          <cell r="H77" t="str">
            <v>Data is anonymized</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high"/>
      <sheetName val="Results-low"/>
    </sheetNames>
    <sheetDataSet>
      <sheetData sheetId="0"/>
      <sheetData sheetId="1">
        <row r="2">
          <cell r="F2" t="str">
            <v xml:space="preserve"> The dataset can be used to test methodology to derive sex ratios and species distribution range maps from camera trap data, and to train and test computer vision-based wildlife censusing algorithms.</v>
          </cell>
          <cell r="G2" t="str">
            <v>The dataset contains RGB images of 6 mammalian species found in Central Kenya. It contains sex-specific annotations for 3 species and counts for all species which can be used to train and test computer vision-based wildlife censusing algorithms.</v>
          </cell>
        </row>
        <row r="3">
          <cell r="F3" t="str">
            <v xml:space="preserve"> image-classification, object-detection</v>
          </cell>
          <cell r="G3" t="str">
            <v>computer-vision</v>
          </cell>
        </row>
        <row r="4">
          <cell r="F4" t="str">
            <v xml:space="preserve"> Environmental Science, Ecology, Images, Camera Traps, Raspberry Pi 2, Raspberry Pi Zero, OpenMV Cam H7, Wildlife Species, Nyeri, Kenya, Object Detection, Image Classification, Sex Ratios, Species Distribution Range Maps, Low-Cost Hardware Platforms.</v>
          </cell>
          <cell r="G4" t="str">
            <v>dsail-porini, dsail-porini, dsail-porini, dsail-porini, dsail-porini, dsail-porini, dsail-porini, dsail-porini, dsail-porini, dsail-porini, dsail-porini, dsail-</v>
          </cell>
        </row>
        <row r="5">
          <cell r="F5" t="str">
            <v xml:space="preserve"> The dataset intends to fill the gaps in understanding the health, breeding rate, and population of wildlife species in a conservancy in Nyeri, Kenya. It can also be used to test methodology to derive sex ratios and species distribution range maps from camera trap data.</v>
          </cell>
          <cell r="G5" t="str">
            <v>The dataset contains RGB images of 6 mammalian species found in Central Kenya. It contains sex-specific annotations for 3 species and counts for all species which can be used to train and test computer vision-based wildlife censusing algorithms.</v>
          </cell>
        </row>
        <row r="7">
          <cell r="F7" t="str">
            <v xml:space="preserve"> The dataset is recommended for applications in Computer Vision, such as image classification and object detection. It can also be used to test methodology to derive sex ratios and species distribution range maps from camera trap data.</v>
          </cell>
          <cell r="G7" t="str">
            <v>The dataset is valuable for the field of Computer Vision, especially for the tasks of image classification and object detection.</v>
          </cell>
        </row>
        <row r="8">
          <cell r="F8" t="str">
            <v xml:space="preserve"> No.</v>
          </cell>
          <cell r="G8" t="str">
            <v>no</v>
          </cell>
        </row>
        <row r="9">
          <cell r="F9" t="str">
            <v>No: Unsure</v>
          </cell>
          <cell r="G9" t="str">
            <v>DSAIL-Porini</v>
          </cell>
        </row>
        <row r="11">
          <cell r="F11" t="str">
            <v xml:space="preserve"> Lorna Mugambi, Centre for Data Science and Artiﬁcial Intelligence (DSAIL), Dedan Kimathi University of Technology, Jason N. Kabi, Department of Electrical and Electronic Engineering, Dedan Kimathi University of Technology, Gabriel Kiarie, Centre for Data Science and Artiﬁcial Intelligence (DSAIL), Dedan Kimathi University of Technology, Ciira wa Maina, Centre for Data Science and Artiﬁcial Intelligence (DSAIL), Dedan Kimathi University of Technology</v>
          </cell>
          <cell r="G11" t="str">
            <v>Lorna Mugambi , Jason N. Kabi , Gabriel Kiarie ,Ciira wa Maina</v>
          </cell>
        </row>
        <row r="12">
          <cell r="F12" t="str">
            <v xml:space="preserve"> Yes, the work was funded by Data Science Africa through the Centre for Data Science and Artiﬁcial Intelligence (DSAIL) program, Canada’s International Development Research Centre (IDRC), and the Swedish International Development Cooperation Agency (Sida) through the Artiﬁcial Intelligence for Development in Africa (AI4D Africa) program. Google also provided a research award to DSAIL.</v>
          </cell>
          <cell r="G12" t="str">
            <v>Data Science Africa through the Centre for Data Science and Artificial Intelligence (DSAIL) program, Canada’s International Development Research Centre (IDRC), and the Swedish International Development Cooperation Agency (Sida) through the Artificial Intelligence for Development in Africa (AI4D Africa) program.</v>
          </cell>
        </row>
        <row r="13">
          <cell r="F13" t="str">
            <v xml:space="preserve"> Unknown</v>
          </cell>
          <cell r="G13" t="str">
            <v>public</v>
          </cell>
        </row>
        <row r="14">
          <cell r="F14" t="str">
            <v xml:space="preserve"> Not provided.</v>
          </cell>
          <cell r="G14" t="str">
            <v>not provided</v>
          </cell>
        </row>
        <row r="15">
          <cell r="F15" t="str">
            <v xml:space="preserve"> The maintainers of the dataset are Lorna Mugambi, Jason N. Kabi, Gabriel Kiarie, and Ciira wa Maina from the Centre for Data Science and Artificial Intelligence (DSAIL) at Dedan Kimathi University of Technology.</v>
          </cell>
          <cell r="G15" t="str">
            <v>Lorna Mugambi , Jason N. Kabi , Gabriel Kiarie ,Ciira wa Maina</v>
          </cell>
        </row>
        <row r="16">
          <cell r="F16" t="str">
            <v xml:space="preserve"> No.</v>
          </cell>
          <cell r="G16" t="str">
            <v>It does not apply to this dataset</v>
          </cell>
        </row>
        <row r="17">
          <cell r="F17" t="str">
            <v xml:space="preserve"> No.</v>
          </cell>
          <cell r="G17" t="str">
            <v>no</v>
          </cell>
        </row>
        <row r="18">
          <cell r="F18" t="str">
            <v xml:space="preserve"> No.</v>
          </cell>
          <cell r="G18" t="str">
            <v>No</v>
          </cell>
        </row>
        <row r="19">
          <cell r="F19" t="str">
            <v xml:space="preserve"> Yes, the following GitHub repositories include all the code that was used to collect the data: https://github.com/DeKUT-DSAIL/cameratrap-pi.git https://github.com/DeKUT- DSAIL/powering- raspberrypi.git https://github.com/DeKUT-DSAIL/cameratrap-openmv.git</v>
          </cell>
          <cell r="G19" t="str">
            <v>https://data.mendeley.com/datasets/6mhrhn7rxc/6</v>
          </cell>
        </row>
        <row r="20">
          <cell r="F20" t="str">
            <v xml:space="preserve"> No.</v>
          </cell>
          <cell r="G20" t="str">
            <v>CC-BY-NC-ND</v>
          </cell>
        </row>
        <row r="21">
          <cell r="F21" t="str">
            <v xml:space="preserve"> The rights of the stand-alone dataset are that it can be used to train and test computer vision-based wildlife censusing algorithms, to test methodology to derive sex ratios and species distribution range maps from camera trap data, and to train and test object detection and classification machine learning models.</v>
          </cell>
          <cell r="G21" t="str">
            <v>It does not apply to this dataset</v>
          </cell>
        </row>
        <row r="22">
          <cell r="F22" t="str">
            <v xml:space="preserve"> The models trained with this data do not have any rights associated with them.</v>
          </cell>
          <cell r="G22" t="str">
            <v>It does not apply to this dataset</v>
          </cell>
        </row>
        <row r="23">
          <cell r="F23" t="str">
            <v xml:space="preserve"> Yes, the authors of the dataset must be attributed when using the dataset. The authors are Lorna Mugambi, Jason N. Kabi, Gabriel Kiarie, and Ciira wa Maina.</v>
          </cell>
          <cell r="G23" t="str">
            <v>No</v>
          </cell>
        </row>
        <row r="24">
          <cell r="F24" t="str">
            <v xml:space="preserve"> No, the authors of the dataset are in charge of the license and distribution of the dataset.</v>
          </cell>
          <cell r="G24" t="str">
            <v>No</v>
          </cell>
        </row>
        <row r="25">
          <cell r="F25" t="str">
            <v xml:space="preserve"> No, there is no deprecation plan or policy of the dataset.</v>
          </cell>
          <cell r="G25" t="str">
            <v>No</v>
          </cell>
        </row>
        <row r="27">
          <cell r="F27" t="str">
            <v xml:space="preserve"> The dataset is composed of raw and jpg images, as well as annotation files containing species, count, sex of the animals, and the coordinates of the camera trap for each image captured.</v>
          </cell>
          <cell r="G27" t="str">
            <v>1. Filename 2. Species 3. Count</v>
          </cell>
        </row>
        <row r="28">
          <cell r="F28" t="str">
            <v xml:space="preserve"> The dataset is composed of images from the Raspberry Pi 2 and Raspberry Pi Zero, which are saved in the 'RaspberryPi_images' folder. This folder contains subfolders named in order of when the camera traps were deployed in the conservancy. Images from the OpenMV Cam H7 are saved in the 'OpenMV_images' folder. The dataset also includes a .xlsx file with the annotation of the images, which includes the species in an image, the count, sex of the animals, and the coordinates of the camera trap for each image captured.</v>
          </cell>
          <cell r="G28" t="str">
            <v>DSAIL-Porini: Annotated camera trap images of wildlife species from a conservancy in Kenya</v>
          </cell>
        </row>
        <row r="30">
          <cell r="F30" t="str">
            <v xml:space="preserve"> Yes, the dataset contains count analysis and sex distribution analysis. Count analysis was important because it aided in learning the behavioral patterns of some animal species in a controlled natural habitat and helped in keeping track of the species populations. Sex distribution analysis is also important because seeing the male and female species interact and knowing their distribution can help determine future population sizes. Fig. 3 shows a count analysis of the images with the bushbuck, impala, and common warthog species, and Fig. 4 shows the sex distribution of the bushbuck, impala, and waterbuck species.</v>
          </cell>
          <cell r="G30" t="str">
            <v>The dataset contains RGB images of 6 mammalian species found in Central Kenya. It contains sex-specific annotations for 3 species and counts for all species which can be used to train and test computer vision-based wildlife censusing algorithms.</v>
          </cell>
        </row>
        <row r="31">
          <cell r="F31" t="str">
            <v xml:space="preserve"> No, the data does not have any explicit consistency rule.</v>
          </cell>
          <cell r="G31" t="str">
            <v>No</v>
          </cell>
        </row>
        <row r="32">
          <cell r="F32" t="str">
            <v xml:space="preserve"> No, the paper does not mention any recommended data split of the dataset.</v>
          </cell>
          <cell r="G32" t="str">
            <v>Not mentioned</v>
          </cell>
        </row>
        <row r="34">
          <cell r="F34" t="str">
            <v xml:space="preserve"> The data of the dataset was collected using camera traps deployed in a wildlife conservancy during the day. The camera traps were based on the Raspberry Pi 2, Raspberry Pi Zero, and OpenMV Cam H7. The camera traps were deployed at different points in the conservancy, taking shots and storing the images on SD cards. After about a week, the camera traps were retrieved and the images were oﬄoaded to a computer for annotation. The camera traps were then redeployed for data collection.</v>
          </cell>
          <cell r="G34" t="str">
            <v>The data were acquired using camera traps deployed in a wildlife conservancy during the day.</v>
          </cell>
        </row>
        <row r="35">
          <cell r="F35" t="str">
            <v xml:space="preserve"> Physical data collection</v>
          </cell>
          <cell r="G35" t="str">
            <v>Image data</v>
          </cell>
        </row>
        <row r="36">
          <cell r="F36" t="str">
            <v xml:space="preserve"> Not provided</v>
          </cell>
          <cell r="G36" t="str">
            <v>During a deployment window, the camera traps take shots and store the images on SD cards. After about a week, the camera traps are retrieved and the images are offloaded to a computer for annotation. The camera traps are then redeployed for data collection</v>
          </cell>
        </row>
        <row r="38">
          <cell r="F38" t="str">
            <v xml:space="preserve"> Nyeri, Kenya</v>
          </cell>
          <cell r="G38" t="str">
            <v>Dedan Kimathi University Wildlife Conservancy (DeKUWC) in Kenya</v>
          </cell>
        </row>
        <row r="40">
          <cell r="F40" t="str">
            <v xml:space="preserve"> No</v>
          </cell>
          <cell r="G40" t="str">
            <v>No</v>
          </cell>
        </row>
        <row r="41">
          <cell r="F41" t="str">
            <v xml:space="preserve"> The data has been collected from the Dedan Kimathi University Wildlife Conservancy (DeKUWC) in Kenya. It consists of 8524 images from four camera traps deployed, two of which use the Raspberry Pi 2, one uses the Raspberry Pi Zero and the other uses the OpenMV Cam H7.</v>
          </cell>
          <cell r="G41" t="str">
            <v>camera traps</v>
          </cell>
        </row>
        <row r="42">
          <cell r="F42" t="str">
            <v xml:space="preserve"> The data source is the Dedan Kimathi University Wildlife Conservancy (DeKUWC) in Kenya.</v>
          </cell>
          <cell r="G42" t="str">
            <v>camera traps</v>
          </cell>
        </row>
        <row r="43">
          <cell r="F43" t="str">
            <v xml:space="preserve"> It is difficult to say without further information.</v>
          </cell>
          <cell r="G43" t="str">
            <v>I don't know</v>
          </cell>
        </row>
        <row r="44">
          <cell r="F44" t="str">
            <v xml:space="preserve"> It is difficult to say without further information.</v>
          </cell>
          <cell r="G44" t="str">
            <v>not provided</v>
          </cell>
        </row>
        <row r="45">
          <cell r="F45" t="str">
            <v xml:space="preserve"> The team who collected the data was from Dedan Kimathi University's Conservancy.</v>
          </cell>
          <cell r="G45" t="str">
            <v>Lorna Mugambi , Jason N. Kabi , Gabriel Kiarie ,Ciira wa Maina</v>
          </cell>
        </row>
        <row r="46">
          <cell r="F46" t="str">
            <v xml:space="preserve"> An internal team.</v>
          </cell>
          <cell r="G46" t="str">
            <v>an internal team</v>
          </cell>
        </row>
        <row r="47">
          <cell r="F47" t="str">
            <v xml:space="preserve"> No, there is no demographic information of an internal team provided in the context.</v>
          </cell>
          <cell r="G47" t="str">
            <v>No</v>
          </cell>
        </row>
        <row r="49">
          <cell r="F49" t="str">
            <v xml:space="preserve"> The data of the DSAIL-Porini dataset has been manually annotated with the following fields: Filename, Species, Count, Sex, Latitude and Longitude. The order of labeling was from foreground to background and left to right. The Sex column contains the sex of each animal in a particular image, with the sex of the animals labeled from left to right. Due to the lack of sex-revealing features with some animal species like the zebra and the warthogs, the sex column for these species was filled with the “Can’t Tell” label. The annotation of the images is available on Mendeley Data as a .xlsx file.</v>
          </cell>
          <cell r="G49" t="str">
            <v>The DSAIL-Porini dataset was manually annotated with the following fields: 1. Filename This is the name an image file was saved as. The filename takes the timestamp form of YYMM-DD-H-M-S and contains the exact date and time it was taken and saved. 2. Species This is the species identified in each image. Some images contained only one species. For example, Fig. 2(a) contains only impalas. Other images had more than one species. For example, Fig. 2(b) has two species,</v>
          </cell>
        </row>
        <row r="50">
          <cell r="F50" t="str">
            <v xml:space="preserve"> Image and video annotations</v>
          </cell>
          <cell r="G50" t="str">
            <v>Image and video annotations</v>
          </cell>
        </row>
        <row r="51">
          <cell r="F51" t="str">
            <v xml:space="preserve"> The labels of the dataset are Filename, Species, Count, Sex, Latitude, and Longitude. Filename is the name an image file was saved as, which takes the timestamp form of YYMM-DD-H-M-S and contains the exact date and time it was taken and saved. Species is the species identified in each image. Count is the number of individuals per species in a particular image. Sex is the sex of each animal in a particular image. Latitude and Longitude are the coordinates of the location the camera trap was deployed at the time the image was captured.</v>
          </cell>
          <cell r="G51" t="str">
            <v>1. Filename 2. Species 3. Count 4. Sex 5. Latitude and Longitude</v>
          </cell>
        </row>
        <row r="52">
          <cell r="F52" t="str">
            <v xml:space="preserve"> Lorna Mugambi, Jason N. Kabi, Gabriel Kiarie, and Ciira wa Maina have annotated the data.</v>
          </cell>
          <cell r="G52" t="str">
            <v>Lorna Mugambi , Jason N. Kabi , Gabriel Kiarie ,Ciira wa Maina</v>
          </cell>
        </row>
        <row r="53">
          <cell r="F53" t="str">
            <v xml:space="preserve"> An internal team.</v>
          </cell>
          <cell r="G53" t="str">
            <v>internal team</v>
          </cell>
        </row>
        <row r="54">
          <cell r="F54" t="str">
            <v xml:space="preserve"> No, there is no demographic information about the team who annotated the data.</v>
          </cell>
          <cell r="G54" t="str">
            <v>The authors declare that they have no known competing financial interests or personal relationships that could have appeared to influence the work reported in this paper.</v>
          </cell>
        </row>
        <row r="55">
          <cell r="F55" t="str">
            <v xml:space="preserve"> The dataset was manually annotated.</v>
          </cell>
          <cell r="G55" t="str">
            <v>Manual annotation</v>
          </cell>
        </row>
        <row r="56">
          <cell r="F56" t="str">
            <v xml:space="preserve"> Count and sex distribution analysis.</v>
          </cell>
          <cell r="G56" t="str">
            <v>Count and sex distribution analysis</v>
          </cell>
        </row>
        <row r="73">
          <cell r="F73" t="str">
            <v xml:space="preserve"> No, the authors declare that they have no known competing financial interests or personal relationships that could have appeared to influence the work reported in this paper. Additionally, the decision to place the camera traps was informed by factors such as the location of the mineral supplements provided for the animals, paths leading to water points, areas around water points, areas of interest pointed out by the wardens, paths leading to animal resting points and location of grazing areas.</v>
          </cell>
          <cell r="G73" t="str">
            <v>The dataset contains RGB images of 6 mammalian species found in Central Kenya. It contains sex-specific annotations for 3 species and counts for all species which can be used to train and test computer vision-based wildlife censusing algorithms.</v>
          </cell>
        </row>
        <row r="74">
          <cell r="F74" t="str">
            <v xml:space="preserve"> No, there are no social groups that could be misrepresented in the dataset.</v>
          </cell>
          <cell r="G74" t="str">
            <v>No</v>
          </cell>
        </row>
        <row r="75">
          <cell r="F75" t="str">
            <v xml:space="preserve"> Yes, there is an imbalance issue in the dataset. For example, there are more instances of male bushbucks than female bushbucks which can point to a male-skewed sex ratio.</v>
          </cell>
          <cell r="G75" t="str">
            <v>Interestingly there are more instances of male bushbucks than female bushbucks which can point to a male-skewed sex ratio</v>
          </cell>
        </row>
        <row r="76">
          <cell r="F76" t="str">
            <v xml:space="preserve"> No, there are no sensitive data or data that can be offensive for people in the dataset.</v>
          </cell>
          <cell r="G76" t="str">
            <v>No</v>
          </cell>
        </row>
        <row r="77">
          <cell r="F77" t="str">
            <v xml:space="preserve"> No, there is no mention of any privacy issues on the data.</v>
          </cell>
          <cell r="G77" t="str">
            <v>It does not apply to this dataset.</v>
          </cell>
        </row>
      </sheetData>
    </sheetDataSet>
  </externalBook>
</externalLink>
</file>

<file path=xl/persons/person.xml><?xml version="1.0" encoding="utf-8"?>
<personList xmlns="http://schemas.microsoft.com/office/spreadsheetml/2018/threadedcomments" xmlns:x="http://schemas.openxmlformats.org/spreadsheetml/2006/main">
  <person displayName="Jordi CABOT SAGRERA" id="{74BA50A6-95E9-AF43-94FD-A5726815D6F9}" userId="S::jordi.cabot@list.lu::c783c25c-a868-4b3e-94c0-47d402e6df31"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9700A8-58B0-2343-9EDE-F4BF28A914FB}" name="Tabla1" displayName="Tabla1" ref="A8:F20" totalsRowShown="0" headerRowDxfId="111" dataDxfId="110">
  <autoFilter ref="A8:F20" xr:uid="{409700A8-58B0-2343-9EDE-F4BF28A914FB}"/>
  <tableColumns count="6">
    <tableColumn id="1" xr3:uid="{59DCF935-F8A6-5E41-AAF2-1626617F0156}" name="Title" dataDxfId="109"/>
    <tableColumn id="7" xr3:uid="{976C107E-8403-B242-B091-01AFC0B26422}" name="Field" dataDxfId="108"/>
    <tableColumn id="2" xr3:uid="{153FA21D-81BA-8E48-8529-BF11228551DF}" name="Publisher" dataDxfId="107"/>
    <tableColumn id="3" xr3:uid="{E5640E24-0603-4E44-83A6-1C3C30E1091D}" name="Year" dataDxfId="106"/>
    <tableColumn id="4" xr3:uid="{4540C6B6-7195-A047-AE8E-5A71EC533164}" name="Link" dataDxfId="105" dataCellStyle="Hipervínculo"/>
    <tableColumn id="5" xr3:uid="{83E9B376-9E0E-9F47-B5F3-7E801CCE30E7}" name="Sheet" dataDxfId="104" dataCellStyle="Hipervíncul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4" dT="2023-04-24T10:00:29.62" personId="{74BA50A6-95E9-AF43-94FD-A5726815D6F9}" id="{37B560BC-54DC-6D48-9092-5468D9706EFC}">
    <text>Not very useful info</text>
  </threadedComment>
  <threadedComment ref="G5" dT="2023-04-24T10:00:39.04" personId="{74BA50A6-95E9-AF43-94FD-A5726815D6F9}" id="{314D553A-0E1B-1449-A0A7-D4D25ADF6E96}">
    <text>It could have been more precise</text>
  </threadedComment>
  <threadedComment ref="G9" dT="2023-04-24T10:02:59.10" personId="{74BA50A6-95E9-AF43-94FD-A5726815D6F9}" id="{4EC23116-7195-1642-8C2F-C7596453D359}">
    <text xml:space="preserve">Curious that now it says the data is publicly available but before it said it was not. </text>
  </threadedComment>
  <threadedComment ref="G18" dT="2023-04-24T10:08:21.25" personId="{74BA50A6-95E9-AF43-94FD-A5726815D6F9}" id="{75D84178-7CDF-CB42-A8BA-704AAE3486A5}">
    <text>Misses the part on 100 articles in each datasert</text>
  </threadedComment>
  <threadedComment ref="G25" dT="2023-04-24T10:12:57.09" personId="{74BA50A6-95E9-AF43-94FD-A5726815D6F9}" id="{0F5CF8CD-DFB0-8645-A53D-6CEFF93B8C22}">
    <text>It's answering details on the ML classifier trained on the data</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nature.com/articles/s41597-022-01867-5" TargetMode="External"/><Relationship Id="rId3" Type="http://schemas.openxmlformats.org/officeDocument/2006/relationships/hyperlink" Target="https://www.nature.com/articles/s41597-022-01855-9" TargetMode="External"/><Relationship Id="rId7" Type="http://schemas.openxmlformats.org/officeDocument/2006/relationships/hyperlink" Target="https://www.sciencedirect.com/science/article/pii/S2352340922006333" TargetMode="External"/><Relationship Id="rId2" Type="http://schemas.openxmlformats.org/officeDocument/2006/relationships/hyperlink" Target="https://www.nature.com/articles/s41597-022-01718-3" TargetMode="External"/><Relationship Id="rId1" Type="http://schemas.openxmlformats.org/officeDocument/2006/relationships/hyperlink" Target="https://www.nature.com/articles/s41597-022-01541-w" TargetMode="External"/><Relationship Id="rId6" Type="http://schemas.openxmlformats.org/officeDocument/2006/relationships/hyperlink" Target="https://www.sciencedirect.com/science/article/pii/S2352340922010733" TargetMode="External"/><Relationship Id="rId5" Type="http://schemas.openxmlformats.org/officeDocument/2006/relationships/hyperlink" Target="https://www.nature.com/articles/s41597-022-01521-0" TargetMode="External"/><Relationship Id="rId10" Type="http://schemas.openxmlformats.org/officeDocument/2006/relationships/table" Target="../tables/table1.xml"/><Relationship Id="rId4" Type="http://schemas.openxmlformats.org/officeDocument/2006/relationships/hyperlink" Target="https://www.nature.com/articles/s41597-021-00815-z" TargetMode="External"/><Relationship Id="rId9" Type="http://schemas.openxmlformats.org/officeDocument/2006/relationships/hyperlink" Target="https://www.sciencedirect.com/science/article/pii/S2352340923001324"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4DC68-F7DF-CB44-8F40-620EC6FF85D8}">
  <dimension ref="A1:O20"/>
  <sheetViews>
    <sheetView workbookViewId="0">
      <selection sqref="A1:E1"/>
    </sheetView>
  </sheetViews>
  <sheetFormatPr baseColWidth="10" defaultRowHeight="16" x14ac:dyDescent="0.2"/>
  <cols>
    <col min="1" max="1" width="64" customWidth="1"/>
    <col min="2" max="2" width="20.5" customWidth="1"/>
    <col min="4" max="4" width="13.6640625" customWidth="1"/>
    <col min="5" max="5" width="59.83203125" customWidth="1"/>
    <col min="6" max="6" width="17.6640625" hidden="1" customWidth="1"/>
    <col min="7" max="7" width="0" hidden="1" customWidth="1"/>
    <col min="8" max="8" width="1.33203125" hidden="1" customWidth="1"/>
    <col min="9" max="10" width="0.1640625" hidden="1" customWidth="1"/>
    <col min="11" max="11" width="14.5" style="98" customWidth="1"/>
    <col min="12" max="12" width="12.33203125" customWidth="1"/>
    <col min="13" max="13" width="6.6640625" customWidth="1"/>
  </cols>
  <sheetData>
    <row r="1" spans="1:15" ht="60" customHeight="1" x14ac:dyDescent="0.2">
      <c r="A1" s="112" t="s">
        <v>275</v>
      </c>
      <c r="B1" s="113"/>
      <c r="C1" s="113"/>
      <c r="D1" s="113"/>
      <c r="E1" s="114"/>
      <c r="F1" s="96"/>
      <c r="G1" s="96"/>
      <c r="H1" s="96"/>
      <c r="I1" s="96"/>
      <c r="J1" s="96"/>
    </row>
    <row r="2" spans="1:15" ht="42" customHeight="1" x14ac:dyDescent="0.2">
      <c r="A2" s="121" t="s">
        <v>276</v>
      </c>
      <c r="B2" s="115" t="s">
        <v>330</v>
      </c>
      <c r="C2" s="115"/>
      <c r="D2" s="115"/>
      <c r="E2" s="116"/>
      <c r="F2" s="94"/>
      <c r="G2" s="94"/>
      <c r="H2" s="94"/>
      <c r="I2" s="94"/>
      <c r="J2" s="94"/>
      <c r="K2" s="99" t="s">
        <v>277</v>
      </c>
      <c r="L2" s="94"/>
      <c r="M2" s="94"/>
      <c r="N2" s="92"/>
    </row>
    <row r="3" spans="1:15" ht="27" customHeight="1" x14ac:dyDescent="0.2">
      <c r="A3" s="121"/>
      <c r="B3" s="117" t="s">
        <v>331</v>
      </c>
      <c r="C3" s="117"/>
      <c r="D3" s="117"/>
      <c r="E3" s="118"/>
      <c r="F3" s="95"/>
      <c r="G3" s="95"/>
      <c r="H3" s="95"/>
      <c r="I3" s="95"/>
      <c r="J3" s="95"/>
      <c r="K3" s="100" t="s">
        <v>278</v>
      </c>
      <c r="L3" s="97" t="s">
        <v>279</v>
      </c>
      <c r="M3" s="95"/>
      <c r="N3" s="91"/>
      <c r="O3" s="91"/>
    </row>
    <row r="4" spans="1:15" ht="70" customHeight="1" x14ac:dyDescent="0.2">
      <c r="A4" s="121"/>
      <c r="B4" s="115" t="s">
        <v>333</v>
      </c>
      <c r="C4" s="115"/>
      <c r="D4" s="115"/>
      <c r="E4" s="116"/>
      <c r="F4" s="94"/>
      <c r="G4" s="94"/>
      <c r="H4" s="94"/>
      <c r="I4" s="94"/>
      <c r="J4" s="94"/>
      <c r="K4" s="90"/>
      <c r="L4" s="94"/>
      <c r="M4" s="94"/>
    </row>
    <row r="5" spans="1:15" ht="43" customHeight="1" x14ac:dyDescent="0.2">
      <c r="A5" s="122"/>
      <c r="B5" s="119" t="s">
        <v>332</v>
      </c>
      <c r="C5" s="119"/>
      <c r="D5" s="119"/>
      <c r="E5" s="120"/>
      <c r="F5" s="94"/>
      <c r="G5" s="94"/>
      <c r="H5" s="94"/>
      <c r="I5" s="94"/>
      <c r="J5" s="94"/>
      <c r="K5" s="90"/>
      <c r="L5" s="94"/>
      <c r="M5" s="94"/>
    </row>
    <row r="6" spans="1:15" ht="41" customHeight="1" x14ac:dyDescent="0.2">
      <c r="A6" s="98"/>
      <c r="B6" s="98"/>
      <c r="C6" s="98"/>
      <c r="D6" s="98"/>
      <c r="E6" s="98"/>
    </row>
    <row r="7" spans="1:15" ht="40" customHeight="1" x14ac:dyDescent="0.2">
      <c r="A7" s="109" t="s">
        <v>291</v>
      </c>
      <c r="B7" s="110"/>
      <c r="C7" s="110"/>
      <c r="D7" s="110"/>
      <c r="E7" s="111"/>
    </row>
    <row r="8" spans="1:15" s="1" customFormat="1" ht="17" x14ac:dyDescent="0.2">
      <c r="A8" s="103" t="s">
        <v>280</v>
      </c>
      <c r="B8" s="1" t="s">
        <v>285</v>
      </c>
      <c r="C8" s="1" t="s">
        <v>281</v>
      </c>
      <c r="D8" s="1" t="s">
        <v>282</v>
      </c>
      <c r="E8" s="104" t="s">
        <v>284</v>
      </c>
      <c r="F8" s="1" t="s">
        <v>283</v>
      </c>
      <c r="K8" s="101"/>
    </row>
    <row r="9" spans="1:15" s="1" customFormat="1" ht="34" x14ac:dyDescent="0.2">
      <c r="A9" s="103" t="s">
        <v>286</v>
      </c>
      <c r="B9" s="1" t="s">
        <v>287</v>
      </c>
      <c r="C9" s="1" t="s">
        <v>288</v>
      </c>
      <c r="D9" s="1">
        <v>2022</v>
      </c>
      <c r="E9" s="105" t="s">
        <v>290</v>
      </c>
      <c r="F9" s="93" t="s">
        <v>289</v>
      </c>
      <c r="K9" s="102" t="s">
        <v>289</v>
      </c>
    </row>
    <row r="10" spans="1:15" s="1" customFormat="1" ht="34" x14ac:dyDescent="0.2">
      <c r="A10" s="103" t="s">
        <v>292</v>
      </c>
      <c r="B10" s="1" t="s">
        <v>293</v>
      </c>
      <c r="C10" s="1" t="s">
        <v>288</v>
      </c>
      <c r="D10" s="1">
        <v>2022</v>
      </c>
      <c r="E10" s="105" t="s">
        <v>294</v>
      </c>
      <c r="F10" s="93"/>
      <c r="K10" s="102" t="s">
        <v>319</v>
      </c>
    </row>
    <row r="11" spans="1:15" s="1" customFormat="1" ht="34" x14ac:dyDescent="0.2">
      <c r="A11" s="103" t="s">
        <v>295</v>
      </c>
      <c r="B11" s="1" t="s">
        <v>296</v>
      </c>
      <c r="C11" s="1" t="s">
        <v>288</v>
      </c>
      <c r="D11" s="1">
        <v>2022</v>
      </c>
      <c r="E11" s="105" t="s">
        <v>297</v>
      </c>
      <c r="F11" s="93"/>
      <c r="K11" s="102" t="s">
        <v>320</v>
      </c>
    </row>
    <row r="12" spans="1:15" s="1" customFormat="1" ht="34" x14ac:dyDescent="0.2">
      <c r="A12" s="103" t="s">
        <v>298</v>
      </c>
      <c r="B12" s="1" t="s">
        <v>293</v>
      </c>
      <c r="C12" s="1" t="s">
        <v>288</v>
      </c>
      <c r="D12" s="1">
        <v>2021</v>
      </c>
      <c r="E12" s="105" t="s">
        <v>299</v>
      </c>
      <c r="F12" s="93"/>
      <c r="K12" s="102" t="s">
        <v>321</v>
      </c>
    </row>
    <row r="13" spans="1:15" s="1" customFormat="1" ht="34" x14ac:dyDescent="0.2">
      <c r="A13" s="103" t="s">
        <v>300</v>
      </c>
      <c r="B13" s="1" t="s">
        <v>293</v>
      </c>
      <c r="C13" s="1" t="s">
        <v>288</v>
      </c>
      <c r="D13" s="1">
        <v>2022</v>
      </c>
      <c r="E13" s="105" t="s">
        <v>301</v>
      </c>
      <c r="F13" s="93"/>
      <c r="K13" s="102" t="s">
        <v>322</v>
      </c>
    </row>
    <row r="14" spans="1:15" s="1" customFormat="1" ht="34" x14ac:dyDescent="0.2">
      <c r="A14" s="103" t="s">
        <v>302</v>
      </c>
      <c r="B14" s="1" t="s">
        <v>303</v>
      </c>
      <c r="C14" s="1" t="s">
        <v>305</v>
      </c>
      <c r="D14" s="1">
        <v>2022</v>
      </c>
      <c r="E14" s="105" t="s">
        <v>304</v>
      </c>
      <c r="F14" s="93"/>
      <c r="K14" s="102" t="s">
        <v>323</v>
      </c>
    </row>
    <row r="15" spans="1:15" s="1" customFormat="1" ht="34" x14ac:dyDescent="0.2">
      <c r="A15" s="103" t="s">
        <v>306</v>
      </c>
      <c r="B15" s="1" t="s">
        <v>307</v>
      </c>
      <c r="C15" s="1" t="s">
        <v>305</v>
      </c>
      <c r="D15" s="1">
        <v>2022</v>
      </c>
      <c r="E15" s="105" t="s">
        <v>308</v>
      </c>
      <c r="F15" s="93"/>
      <c r="K15" s="102" t="s">
        <v>324</v>
      </c>
    </row>
    <row r="16" spans="1:15" s="1" customFormat="1" ht="17" x14ac:dyDescent="0.2">
      <c r="A16" s="103" t="s">
        <v>309</v>
      </c>
      <c r="B16" s="1" t="s">
        <v>293</v>
      </c>
      <c r="C16" s="1" t="s">
        <v>305</v>
      </c>
      <c r="D16" s="1">
        <v>2022</v>
      </c>
      <c r="E16" s="105" t="s">
        <v>310</v>
      </c>
      <c r="F16" s="93"/>
      <c r="K16" s="102" t="s">
        <v>325</v>
      </c>
    </row>
    <row r="17" spans="1:11" s="1" customFormat="1" ht="34" x14ac:dyDescent="0.2">
      <c r="A17" s="103" t="s">
        <v>311</v>
      </c>
      <c r="B17" s="1" t="s">
        <v>287</v>
      </c>
      <c r="C17" s="1" t="s">
        <v>305</v>
      </c>
      <c r="D17" s="1">
        <v>2022</v>
      </c>
      <c r="E17" s="105" t="s">
        <v>312</v>
      </c>
      <c r="F17" s="93"/>
      <c r="K17" s="102" t="s">
        <v>326</v>
      </c>
    </row>
    <row r="18" spans="1:11" s="1" customFormat="1" ht="34" x14ac:dyDescent="0.2">
      <c r="A18" s="103" t="s">
        <v>314</v>
      </c>
      <c r="B18" s="1" t="s">
        <v>307</v>
      </c>
      <c r="C18" s="1" t="s">
        <v>305</v>
      </c>
      <c r="D18" s="1">
        <v>2023</v>
      </c>
      <c r="E18" s="105" t="s">
        <v>313</v>
      </c>
      <c r="F18" s="93"/>
      <c r="K18" s="102" t="s">
        <v>327</v>
      </c>
    </row>
    <row r="19" spans="1:11" s="1" customFormat="1" ht="34" x14ac:dyDescent="0.2">
      <c r="A19" s="103" t="s">
        <v>315</v>
      </c>
      <c r="B19" s="1" t="s">
        <v>296</v>
      </c>
      <c r="C19" s="1" t="s">
        <v>288</v>
      </c>
      <c r="D19" s="1">
        <v>2022</v>
      </c>
      <c r="E19" s="105" t="s">
        <v>316</v>
      </c>
      <c r="F19" s="93"/>
      <c r="K19" s="102" t="s">
        <v>328</v>
      </c>
    </row>
    <row r="20" spans="1:11" s="1" customFormat="1" ht="34" x14ac:dyDescent="0.2">
      <c r="A20" s="106" t="s">
        <v>317</v>
      </c>
      <c r="B20" s="107" t="s">
        <v>296</v>
      </c>
      <c r="C20" s="107" t="s">
        <v>305</v>
      </c>
      <c r="D20" s="107">
        <v>2023</v>
      </c>
      <c r="E20" s="108" t="s">
        <v>318</v>
      </c>
      <c r="F20" s="93"/>
      <c r="K20" s="102" t="s">
        <v>329</v>
      </c>
    </row>
  </sheetData>
  <mergeCells count="7">
    <mergeCell ref="A7:E7"/>
    <mergeCell ref="A1:E1"/>
    <mergeCell ref="B2:E2"/>
    <mergeCell ref="B3:E3"/>
    <mergeCell ref="B4:E4"/>
    <mergeCell ref="B5:E5"/>
    <mergeCell ref="A2:A5"/>
  </mergeCells>
  <phoneticPr fontId="19" type="noConversion"/>
  <hyperlinks>
    <hyperlink ref="F9" location="Mosquito!A1" display="Mosquito!A1" xr:uid="{9C1F5B69-DB27-DF48-8D46-8E6AB4785EFF}"/>
    <hyperlink ref="E9" r:id="rId1" xr:uid="{C2BE7AB4-85E4-804C-8E62-1708C96E8F02}"/>
    <hyperlink ref="K2" location="Overall!A1" display="Overall!A1" xr:uid="{FA04542C-0DAD-0C46-BF14-B9677795B1CF}"/>
    <hyperlink ref="K3" location="GPT!A1" display="GPT!A1" xr:uid="{8C1E6972-66EE-0B40-9BE3-53E1D1945308}"/>
    <hyperlink ref="L3" location="FLANUL2!A1" display="FLANUL2!A1" xr:uid="{C0646666-2A33-6949-91E5-298BFDDBF2F3}"/>
    <hyperlink ref="E10" r:id="rId2" xr:uid="{95A2B99F-4089-094D-8F3E-0F1AD96C260B}"/>
    <hyperlink ref="E11" r:id="rId3" xr:uid="{B782EF09-7020-C14E-97A2-70DB1D5A4E24}"/>
    <hyperlink ref="E12" r:id="rId4" xr:uid="{2073F8F6-2C9D-A84F-8FFD-49203C7A9B35}"/>
    <hyperlink ref="E13" r:id="rId5" xr:uid="{96E3DC6F-BFA9-8440-8943-1B3CB3BF3051}"/>
    <hyperlink ref="E14" r:id="rId6" xr:uid="{34426617-456D-2345-9B5F-EA9EF5B1FB97}"/>
    <hyperlink ref="E15" r:id="rId7" xr:uid="{8DF7843E-0D74-2446-ABB1-17CA40CE099B}"/>
    <hyperlink ref="E19" r:id="rId8" xr:uid="{CAE21730-8F99-D04B-B42B-92BF1CEE226D}"/>
    <hyperlink ref="E20" r:id="rId9" xr:uid="{CC176405-976B-164C-8E2E-8A2E04619078}"/>
    <hyperlink ref="K9" location="Mosquito!A1" display="Mosquito!A1" xr:uid="{C78E2648-5FDC-9E41-A718-0963B058B32C}"/>
    <hyperlink ref="K10" location="Body!A1" display="Body!A1" xr:uid="{322F70A6-C1C4-3544-A203-20AF40F2B49C}"/>
    <hyperlink ref="K11" location="Quechua!A1" display="Quechua!A1" xr:uid="{49969180-71C2-FA43-92C3-920FA9AFD07A}"/>
    <hyperlink ref="K12" location="Melanoma!A1" display="Melanoma!A1" xr:uid="{AD718B8A-38E6-A34B-B40E-702EDEE15814}"/>
    <hyperlink ref="K13" location="Leaf!A1" display="Leaf!A1" xr:uid="{827A4E42-1512-7242-99F5-5F6E5511B13F}"/>
    <hyperlink ref="K14" location="Antimicrobial!A1" display="Antimicrobial!A1" xr:uid="{C25B1FA7-8C65-C546-96DB-55A3A79456D3}"/>
    <hyperlink ref="K15" location="Albanian!A1" display="Albanian!A1" xr:uid="{D5451E28-F280-9345-9BDE-B345307983AC}"/>
    <hyperlink ref="K16" location="Prostate!A1" display="Prostate!A1" xr:uid="{55E6311F-0A39-2A40-BEA9-FE80135871E9}"/>
    <hyperlink ref="K17" location="Kenya!A1" display="Kenya!A1" xr:uid="{0293E260-4844-6A47-B311-67A5FE0306C3}"/>
    <hyperlink ref="K18" location="Indonesia!A1" display="Indonesia!A1" xr:uid="{F0144337-2DE4-F14F-97D8-B7E054FD8901}"/>
    <hyperlink ref="K19" location="Lontar!A1" display="Lontar!A1" xr:uid="{36A9BF4F-24E3-6445-83F3-68C62D736372}"/>
    <hyperlink ref="K20" location="Kurdish!A1" display="Kurdish!A1" xr:uid="{43249B3D-6EE6-4543-8157-9D2AA4136C55}"/>
  </hyperlinks>
  <pageMargins left="0.7" right="0.7" top="0.75" bottom="0.75" header="0.3" footer="0.3"/>
  <tableParts count="1">
    <tablePart r:id="rId10"/>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42E08-6787-7549-BC9C-AF8A2E8CACB4}">
  <dimension ref="A1:J29"/>
  <sheetViews>
    <sheetView topLeftCell="B23" zoomScaleNormal="130" workbookViewId="0">
      <selection activeCell="F36" sqref="F36"/>
    </sheetView>
  </sheetViews>
  <sheetFormatPr baseColWidth="10" defaultRowHeight="15" x14ac:dyDescent="0.2"/>
  <cols>
    <col min="1" max="1" width="27.33203125" style="19" customWidth="1"/>
    <col min="2" max="2" width="37.5" style="18" customWidth="1"/>
    <col min="3" max="3" width="31.6640625" style="18" customWidth="1"/>
    <col min="4" max="4" width="58.1640625" style="19" customWidth="1"/>
    <col min="5" max="5" width="39.6640625" style="19" customWidth="1"/>
    <col min="6" max="6" width="39.6640625" style="17" customWidth="1"/>
    <col min="7" max="8" width="33.6640625" style="17" customWidth="1"/>
    <col min="9" max="9" width="37.33203125" style="17" customWidth="1"/>
    <col min="10" max="10" width="18.6640625" style="17" customWidth="1"/>
    <col min="11" max="16384" width="10.83203125" style="17"/>
  </cols>
  <sheetData>
    <row r="1" spans="1:9" s="19" customFormat="1" ht="33" customHeight="1" thickBot="1" x14ac:dyDescent="0.25">
      <c r="A1" s="44" t="s">
        <v>9</v>
      </c>
      <c r="B1" s="44" t="s">
        <v>105</v>
      </c>
      <c r="C1" s="44" t="s">
        <v>104</v>
      </c>
      <c r="D1" s="42" t="s">
        <v>103</v>
      </c>
      <c r="E1" s="42" t="s">
        <v>107</v>
      </c>
      <c r="F1" s="42" t="s">
        <v>117</v>
      </c>
      <c r="G1" s="43" t="s">
        <v>121</v>
      </c>
      <c r="H1" s="43" t="s">
        <v>153</v>
      </c>
      <c r="I1" s="43" t="s">
        <v>266</v>
      </c>
    </row>
    <row r="2" spans="1:9" s="19" customFormat="1" ht="260" customHeight="1" thickTop="1" x14ac:dyDescent="0.2">
      <c r="A2" s="149" t="s">
        <v>99</v>
      </c>
      <c r="B2" s="38" t="s">
        <v>98</v>
      </c>
      <c r="C2" s="30" t="s">
        <v>97</v>
      </c>
      <c r="D2" s="20" t="str">
        <f>"Purposes: "&amp; '[6]Results-low'!F2&amp;CHAR(10)&amp;CHAR(10)&amp;"Gaps: "&amp;'[6]Results-low'!F5 &amp;CHAR(10)&amp;CHAR(10)&amp;"Tasks: "&amp;'[6]Results-low'!F3 &amp;CHAR(10)&amp;CHAR(10)&amp;"Tags: "&amp;'[6]Results-low'!F4</f>
        <v>Purposes:  The dataset can be used to train or evaluate classification approaches to automatically identify written text on AMR events across the different reservoirs and sectors of One Health (i.e. human, animal, food, environmental sources, such as soil and waste water) in unstructured data (e.g. news, tweets) and classify these events by relevance for EI purposes.
Gaps:  The dataset is intended to fill gaps in natural language processing on specialized domains, particularly in the field of AMR surveillance and epidemic intelligence. It is useful for computer scientists for NLP and data mining tasks, and can be used for evaluation or training purposes for classification tasks. It can support the development of methodology that can automatically classify EBS AMR data, hence facilitate relevant epidemic intelligence activities for AMR across the One Health domains.
Tasks:  text-classification, text-mining, named-entity-recognition, sentiment-analysis, classification, information-retrieval, other
Tags:  Antimicrobial resistance (AMR), Text mining, Annotation, Epidemiology, Event-based surveillance, Natural Language Processing (NLP), Data mining, Support Vector Machines (SVM), Tf-Idf, Doc2Vec, SMOTETomek, One Health, Host classiﬁcation, Thematic classiﬁcation.</v>
      </c>
      <c r="E2" s="20" t="str">
        <f>"Purposes: "&amp; '[6]Results-low'!G2&amp;CHAR(10)&amp;CHAR(10)&amp;"Gaps: "&amp;'[6]Results-low'!G5 &amp;CHAR(10)&amp;CHAR(10)&amp;"Tasks: "&amp;'[6]Results-low'!G3 &amp;CHAR(10)&amp;CHAR(10)&amp;"Tags: "&amp;'[6]Results-low'!G4</f>
        <v>Purposes: This dataset contributes to the available resources for Natural Language Processing (NLP) on specialized domains and more precisely in the field of AMR surveillance and epidemic intelligence.
Gaps: It is useful for the detection of information across the One Health domains (humans, animals and environment) and interactions between these domains
Tasks: text-classification
Tags: Antimicrobial resistance (AMR), Text mining, Annotation, Epidemiology</v>
      </c>
      <c r="F2" s="20" t="s">
        <v>154</v>
      </c>
      <c r="G2" s="41" t="s">
        <v>155</v>
      </c>
      <c r="H2" s="41" t="s">
        <v>0</v>
      </c>
      <c r="I2" s="40" t="s">
        <v>96</v>
      </c>
    </row>
    <row r="3" spans="1:9" s="19" customFormat="1" ht="160" customHeight="1" x14ac:dyDescent="0.2">
      <c r="A3" s="150"/>
      <c r="B3" s="31" t="s">
        <v>95</v>
      </c>
      <c r="C3" s="30" t="s">
        <v>94</v>
      </c>
      <c r="D3" s="20" t="str">
        <f>'[6]Results-low'!F7&amp;CHAR(10)&amp;CHAR(10)&amp;'[6]Results-low'!F8</f>
        <v xml:space="preserve"> The dataset is recommended for Natural Language Processing (NLP) and data mining tasks, as well as for evaluation or training purposes for classification tasks. It can be used to train or evaluate classification approaches to automatically identify written text on AMR events across the different reservoirs and sectors of One Health (i.e. human, animal, food, environmental sources, such as soil and waste water) in unstructured data (e.g. news, tweets) and classify these events by relevance for epidemic intelligence purposes.
 No.</v>
      </c>
      <c r="E3" s="20" t="str">
        <f>'[6]Results-low'!G7&amp;CHAR(10)&amp;CHAR(10)&amp;'[6]Results-low'!G8</f>
        <v>It can be used for evaluation or training purposes for classification tasks.
no</v>
      </c>
      <c r="F3" s="20" t="s">
        <v>156</v>
      </c>
      <c r="G3" s="28" t="s">
        <v>155</v>
      </c>
      <c r="H3" s="28" t="s">
        <v>43</v>
      </c>
      <c r="I3" s="39" t="s">
        <v>96</v>
      </c>
    </row>
    <row r="4" spans="1:9" s="19" customFormat="1" ht="133" customHeight="1" x14ac:dyDescent="0.2">
      <c r="A4" s="150"/>
      <c r="B4" s="31" t="s">
        <v>93</v>
      </c>
      <c r="C4" s="30" t="s">
        <v>92</v>
      </c>
      <c r="D4" s="20" t="str">
        <f>'[6]Results-low'!F9</f>
        <v xml:space="preserve"> The models used to test the dataset are Support Vector Machines (SVM) and the two feature extraction methods Tf-Idf (Term Frequency - Inverse Document Frequency weighting) and Doc2Vec.  The evaluation metrics used to test the model are Precision, Recall, and F-measure. The F-measure is calculated as the unweighted mean of the Precision and Recall scores for each output class.</v>
      </c>
      <c r="E4" s="20" t="str">
        <f>'[6]Results-low'!G9</f>
        <v>Tf-Idf and Doc2Vec</v>
      </c>
      <c r="F4" s="20" t="s">
        <v>157</v>
      </c>
      <c r="G4" s="32" t="s">
        <v>43</v>
      </c>
      <c r="H4" s="32" t="s">
        <v>43</v>
      </c>
      <c r="I4" s="40"/>
    </row>
    <row r="5" spans="1:9" s="19" customFormat="1" ht="80" x14ac:dyDescent="0.2">
      <c r="A5" s="151" t="s">
        <v>91</v>
      </c>
      <c r="B5" s="24" t="s">
        <v>90</v>
      </c>
      <c r="C5" s="23" t="s">
        <v>89</v>
      </c>
      <c r="D5" s="20" t="str">
        <f>'[6]Results-low'!F11</f>
        <v xml:space="preserve"> Nejat Arınık, Wim Van Bortel, Bahdja Boudoua, Luca Busani, Rémy Decoupes, Roberto Interdonato, Rodrique Kafando, Esther van Kleef, Mathieu Roche, Mehtab Alam Syed, Maguelonne Teisseire</v>
      </c>
      <c r="E5" s="20" t="str">
        <f>'[6]Results-low'!G11</f>
        <v>Nejat Arnk , Wim Van Bortel , Bahdja Boudoua , Luca Busani Rémy Decoupes , Roberto Interdonato , Rodrique Kafando Esther van Kleef , Mathieu Roche , Mehtab Alam Syed Maguelonne Teisseire</v>
      </c>
      <c r="F5" s="20" t="s">
        <v>158</v>
      </c>
      <c r="G5" s="32" t="s">
        <v>34</v>
      </c>
      <c r="H5" s="32" t="s">
        <v>3</v>
      </c>
      <c r="I5" s="40" t="s">
        <v>96</v>
      </c>
    </row>
    <row r="6" spans="1:9" s="19" customFormat="1" ht="128" x14ac:dyDescent="0.2">
      <c r="A6" s="152"/>
      <c r="B6" s="24" t="s">
        <v>29</v>
      </c>
      <c r="C6" s="23" t="s">
        <v>88</v>
      </c>
      <c r="D6" s="20" t="str">
        <f>'[6]Results-low'!F12 &amp; CHAR(10) &amp; CHAR(10) &amp; "Type:" &amp; '[6]Results-low'!F13  &amp; CHAR(10) &amp; CHAR(10) &amp; "Grants ID:" &amp; '[6]Results-low'!F14</f>
        <v xml:space="preserve"> This study was partially funded by EU grant 874850 MOOD and is catalogued as MOOD052. The contents of this publication are the sole responsibility of the authors and do not necessarily reﬂect the views of the European Commission.
Type: Unknown
Grants ID: Not provided.</v>
      </c>
      <c r="E6" s="20" t="str">
        <f>'[6]Results-low'!G12 &amp; CHAR(10) &amp; CHAR(10) &amp; "Type:" &amp; '[6]Results-low'!G13  &amp; CHAR(10) &amp; CHAR(10) &amp; "Grants ID:" &amp; '[6]Results-low'!G14</f>
        <v>This study was partially funded by EU grant 874850 MOOD and is catalogued as MOOD052.
Type:public
Grants ID:not provided</v>
      </c>
      <c r="F6" s="20" t="s">
        <v>159</v>
      </c>
      <c r="G6" s="28" t="s">
        <v>155</v>
      </c>
      <c r="H6" s="28" t="s">
        <v>0</v>
      </c>
      <c r="I6" s="40" t="s">
        <v>96</v>
      </c>
    </row>
    <row r="7" spans="1:9" s="19" customFormat="1" ht="302" customHeight="1" x14ac:dyDescent="0.2">
      <c r="A7" s="152"/>
      <c r="B7" s="24" t="s">
        <v>87</v>
      </c>
      <c r="C7" s="23" t="s">
        <v>86</v>
      </c>
      <c r="D7" s="20" t="str">
        <f>'[6]Results-low'!F14 &amp; CHAR(10) &amp; CHAR(10) &amp; "Contribution guidelines:" &amp; '[6]Results-low'!F15  &amp; CHAR(10) &amp; CHAR(10) &amp; "Erratum:" &amp; '[6]Results-low'!F16 &amp; CHAR(10) &amp; CHAR(10) &amp; "Data Retention:" &amp; '[6]Results-low'!F17</f>
        <v xml:space="preserve"> Not provided.
Contribution guidelines: Nejat Arınık, Wim Van Bortel, Bahdja Boudoua, Luca Busani, Rémy Decoupes, Roberto Interdonato, Rodrique Kafando, Esther van Kleef, Mathieu Roche, Mehtab Alam Syed, and Maguelonne Teisseire.
Erratum: No.
Data Retention: No.</v>
      </c>
      <c r="E7" s="20" t="str">
        <f>'[6]Results-low'!G14 &amp; CHAR(10) &amp; CHAR(10) &amp; "Contribution guidelines:" &amp; '[6]Results-low'!G15  &amp; CHAR(10) &amp; CHAR(10) &amp; "Erratum:" &amp; '[6]Results-low'!G16 &amp; CHAR(10) &amp; CHAR(10) &amp; "Data Retention:" &amp; '[6]Results-low'!G17</f>
        <v>not provided
Contribution guidelines:Nejat Arnk , Wim Van Bortel , Bahdja Boudoua , Luca Busani Rémy Decoupes , Roberto Interdonato , Rodrique Kafando Esther van Kleef , Mathieu Roche , Mehtab Alam Syed Maguelonne Teisseire
Erratum:The guidelines were designed according to an iterative process made of multiple annotation rounds.
Data Retention:no</v>
      </c>
      <c r="F7" s="20" t="s">
        <v>160</v>
      </c>
      <c r="G7" s="32" t="s">
        <v>34</v>
      </c>
      <c r="H7" s="32" t="s">
        <v>43</v>
      </c>
      <c r="I7" s="39" t="s">
        <v>96</v>
      </c>
    </row>
    <row r="8" spans="1:9" s="19" customFormat="1" ht="48" x14ac:dyDescent="0.2">
      <c r="A8" s="153" t="s">
        <v>85</v>
      </c>
      <c r="B8" s="38" t="s">
        <v>84</v>
      </c>
      <c r="C8" s="30" t="s">
        <v>83</v>
      </c>
      <c r="D8" s="20" t="str">
        <f>'[6]Results-low'!F18</f>
        <v xml:space="preserve"> No.</v>
      </c>
      <c r="E8" s="20" t="str">
        <f>'[6]Results-low'!G18</f>
        <v>no</v>
      </c>
      <c r="F8" s="20" t="s">
        <v>161</v>
      </c>
      <c r="G8" s="28" t="s">
        <v>42</v>
      </c>
      <c r="H8" s="28" t="s">
        <v>42</v>
      </c>
      <c r="I8" s="39" t="s">
        <v>96</v>
      </c>
    </row>
    <row r="9" spans="1:9" s="19" customFormat="1" ht="365" x14ac:dyDescent="0.2">
      <c r="A9" s="150"/>
      <c r="B9" s="38" t="s">
        <v>82</v>
      </c>
      <c r="C9" s="30" t="s">
        <v>81</v>
      </c>
      <c r="D9" s="20" t="str">
        <f>"License: "&amp; '[6]Results-low'!F19 &amp; CHAR(10) &amp; CHAR(10)
&amp; "Thid-parties in-charge: "&amp; '[6]Results-low'!F24 &amp; CHAR(10) &amp; CHAR(10)
&amp; "Attribution notice: "&amp; '[6]Results-low'!F23 &amp; CHAR(10) &amp; CHAR(10)
&amp; "Data Stand-alone:" &amp; '[6]Results-low'!F21  &amp; CHAR(10) &amp; CHAR(10) &amp; "Model trained with the data:" &amp; '[6]Results-low'!F22</f>
        <v>License:  No
Thid-parties in-charge:  No, the dataset is publicly available online and does not require a license or distribution from a third party.
Attribution notice:  Yes, the authors require that the following acknowledgement be used when using the dataset: "This study was partially funded by EU grant 874850 MOOD and is catalogued as MOOD052. The contents of this publication are the sole responsibility of the authors and do not necessarily reﬂect the views of the European Commission."
Data Stand-alone: The stand-alone dataset can be used for evaluation or training purposes for classification tasks, to support the development of methodology that can automatically classify EBS AMR data, and to facilitate relevant epidemic intelligence activities for AMR across the One Health domains.
Model trained with the data: The models trained with this data are available for use for evaluation or training purposes for classification tasks. They can also be used to support the development of methodology that can automatically classify EBS AMR data, hence facilitate relevant epidemic intelligence activities for AMR across the One Health domains.</v>
      </c>
      <c r="E9" s="20" t="str">
        <f>"License: "&amp; '[6]Results-low'!G19 &amp; CHAR(10) &amp; CHAR(10)
&amp; "Thid-parties in-charge: "&amp; '[6]Results-low'!G24 &amp; CHAR(10) &amp; CHAR(10)
&amp; "Attribution notice: "&amp; '[6]Results-low'!G23 &amp; CHAR(10) &amp; CHAR(10)
&amp; "Data Stand-alone:" &amp; '[6]Results-low'!G21  &amp; CHAR(10) &amp; CHAR(10) &amp; "Model trained with the data:" &amp; '[6]Results-low'!G22</f>
        <v>License: Yes
Thid-parties in-charge: No
Attribution notice: CC BY-NC-ND license
Data Stand-alone:CC BY-NC-ND license
Model trained with the data:CC BY-NC-ND license</v>
      </c>
      <c r="F9" s="20" t="s">
        <v>162</v>
      </c>
      <c r="G9" s="32" t="s">
        <v>43</v>
      </c>
      <c r="H9" s="32" t="s">
        <v>43</v>
      </c>
      <c r="I9" s="37" t="s">
        <v>96</v>
      </c>
    </row>
    <row r="10" spans="1:9" s="19" customFormat="1" ht="32" x14ac:dyDescent="0.2">
      <c r="A10" s="150"/>
      <c r="B10" s="31" t="s">
        <v>33</v>
      </c>
      <c r="C10" s="30" t="s">
        <v>80</v>
      </c>
      <c r="D10" s="29" t="str">
        <f>'[6]Results-low'!F25</f>
        <v xml:space="preserve"> No, there is no deprecation plan or policy of the dataset mentioned in the context.</v>
      </c>
      <c r="E10" s="29" t="str">
        <f>'[6]Results-low'!G25</f>
        <v>CC BY-NC-ND license</v>
      </c>
      <c r="F10" s="29" t="s">
        <v>134</v>
      </c>
      <c r="G10" s="28" t="s">
        <v>155</v>
      </c>
      <c r="H10" s="28" t="s">
        <v>42</v>
      </c>
      <c r="I10" s="37" t="s">
        <v>96</v>
      </c>
    </row>
    <row r="11" spans="1:9" s="19" customFormat="1" ht="395" x14ac:dyDescent="0.2">
      <c r="A11" s="152" t="s">
        <v>77</v>
      </c>
      <c r="B11" s="24" t="s">
        <v>76</v>
      </c>
      <c r="C11" s="23" t="s">
        <v>75</v>
      </c>
      <c r="D11" s="20" t="str">
        <f>"Files:" &amp;'[6]Results-low'!F27 &amp; CHAR(10) &amp; CHAR(10) &amp; "Attributes:" &amp; '[6]Results-low'!F28</f>
        <v>Files: The dataset is composed of eight files: D1.1 - ProMED_url_thematic_classification.csv, D1.2 - PADI-web_thematic_classification.csv, D1.3 - HealthMap_url_thematic_classification.csv, D1.4 - MedISys_url_thematic_classification.csv, D2.1 - ProMED_url_host_classification.csv, D2.2 - PADI-web_host_classification.csv, D2.3 - HealthMap_url_host_classification.csv, and D2.4 - MedISys_url_host_classification.csv.
Attributes: The dataset is composed of four files from four different EBS systems: ProMED, PADI-web, HealthMap and MedISys. Each file is labeled according to its source and contains 100 articles. The first file, D1.1, is labeled ProMED_url_thematic_classification.csv and is used for thematic classification with three main classes (New Information, General Information, Not Relevant + Don't Know class). The second file, D1.2, is labeled PADI-web_thematic_classification.csv and is also used for thematic classification with the same three main classes. The third file, D1.3, is labeled HealthMap_url_thematic_classification.csv and is also used for thematic classification with the same three main classes. The fourth file, D1.4, is labeled MedISys_url_thematic_classification.csv and is also used for thematic classification with the same three main classes. The fifth file, D2.1, is labeled ProMED_url_host_classification.csv and is used for host classification with seven classes (Humans, Human-animal, Animals, Human-food, Food,</v>
      </c>
      <c r="E11" s="20" t="str">
        <f>"Files:" &amp;'[6]Results-low'!G27 &amp; CHAR(10) &amp; CHAR(10) &amp; "Attributes:" &amp; '[6]Results-low'!G28</f>
        <v>Files:D1 .1 -ProMED_url_thematic_classification.csv D1 .2 -PADI-web_thematic_classification.csv D1 .3 -HealthMap_url_thematic_classification.csv D1 .4 -MedISys_url_thematic_classification.csv D2 .1 -ProMED_url_host_classification.csv D2 .2 -PADI-web_host_classification.csv D
Attributes:D1 .1 -ProMED_url_thematic_classification.csv D1 .2 -PADI-web_thematic_classification.csv D1 .3 -HealthMap_url_thematic_classification.csv D1 .4 -MedISys_url_thematic_classification.csv</v>
      </c>
      <c r="F11" s="20" t="s">
        <v>163</v>
      </c>
      <c r="G11" s="32" t="s">
        <v>50</v>
      </c>
      <c r="H11" s="32" t="s">
        <v>34</v>
      </c>
      <c r="I11" s="37" t="s">
        <v>96</v>
      </c>
    </row>
    <row r="12" spans="1:9" s="19" customFormat="1" ht="32" x14ac:dyDescent="0.2">
      <c r="A12" s="152"/>
      <c r="B12" s="24" t="s">
        <v>74</v>
      </c>
      <c r="C12" s="23" t="s">
        <v>73</v>
      </c>
      <c r="D12" s="20" t="str">
        <f>'[6]Results-low'!F32</f>
        <v xml:space="preserve"> No, the paper does not mention any recommended data split of the dataset.</v>
      </c>
      <c r="E12" s="20" t="str">
        <f>'[6]Results-low'!G32</f>
        <v>Not Helpful</v>
      </c>
      <c r="F12" s="20" t="s">
        <v>164</v>
      </c>
      <c r="G12" s="32" t="s">
        <v>155</v>
      </c>
      <c r="H12" s="32" t="s">
        <v>3</v>
      </c>
      <c r="I12" s="37" t="s">
        <v>96</v>
      </c>
    </row>
    <row r="13" spans="1:9" s="19" customFormat="1" ht="144" x14ac:dyDescent="0.2">
      <c r="A13" s="152"/>
      <c r="B13" s="27" t="s">
        <v>72</v>
      </c>
      <c r="C13" s="23" t="s">
        <v>71</v>
      </c>
      <c r="D13" s="20" t="str">
        <f>'[6]Results-low'!F31 &amp;  CHAR(10) &amp; CHAR(10) &amp; '[6]Results-low'!F30</f>
        <v xml:space="preserve"> No, there is no explicit consistency rule for the data.
 Yes, Tables 1 and 2 detail the distribution per class for D1 and D2 corpora, respectively. The tables indicate as a percentage how frequent a specific class is in a given surveillance system.</v>
      </c>
      <c r="E13" s="20" t="str">
        <f>'[6]Results-low'!G31 &amp;  CHAR(10) &amp; CHAR(10) &amp; '[6]Results-low'!G30</f>
        <v>No
The main objective of the hackathon task was to develop and test classification approaches that automatically identified AMR events and reservoirs of concern (e.g. animal, food, environment, etc.) and classified these events by their relevance for epidemic intelligence purposes.</v>
      </c>
      <c r="F13" s="20" t="s">
        <v>165</v>
      </c>
      <c r="G13" s="28" t="s">
        <v>34</v>
      </c>
      <c r="H13" s="28" t="s">
        <v>42</v>
      </c>
      <c r="I13" s="37"/>
    </row>
    <row r="14" spans="1:9" s="19" customFormat="1" ht="191" customHeight="1" x14ac:dyDescent="0.2">
      <c r="A14" s="153" t="s">
        <v>70</v>
      </c>
      <c r="B14" s="31" t="s">
        <v>44</v>
      </c>
      <c r="C14" s="30" t="s">
        <v>69</v>
      </c>
      <c r="D14" s="20" t="str">
        <f>'[6]Results-low'!F34</f>
        <v xml:space="preserve"> The dataset was collected from four event based surveillance (EBS) systems: ProMED, PADI-web, HealthMap and MedISys. Data was collected from news items, scientific publications and national or international reports. The data was then manually annotated by AMR experts with the help of an annotation guideline.</v>
      </c>
      <c r="E14" s="20" t="str">
        <f>'[6]Results-low'!G34</f>
        <v>The corpus dataset was curated and mined by the TETIS team from four EBS-systems: ProMED, PADI-web, HealthMap and MedISys.</v>
      </c>
      <c r="F14" s="20" t="s">
        <v>166</v>
      </c>
      <c r="G14" s="28" t="s">
        <v>50</v>
      </c>
      <c r="H14" s="28" t="s">
        <v>3</v>
      </c>
      <c r="I14" s="87" t="s">
        <v>96</v>
      </c>
    </row>
    <row r="15" spans="1:9" s="19" customFormat="1" ht="124" customHeight="1" x14ac:dyDescent="0.2">
      <c r="A15" s="150"/>
      <c r="B15" s="31" t="s">
        <v>56</v>
      </c>
      <c r="C15" s="30" t="s">
        <v>68</v>
      </c>
      <c r="D15" s="20" t="str">
        <f>'[6]Results-low'!F35</f>
        <v xml:space="preserve"> Manual Human Curator</v>
      </c>
      <c r="E15" s="20" t="str">
        <f>'[6]Results-low'!G35</f>
        <v>Manual Human Curator</v>
      </c>
      <c r="F15" s="20" t="s">
        <v>167</v>
      </c>
      <c r="G15" s="28" t="s">
        <v>50</v>
      </c>
      <c r="H15" s="28" t="s">
        <v>0</v>
      </c>
      <c r="I15" s="35" t="s">
        <v>96</v>
      </c>
    </row>
    <row r="16" spans="1:9" s="19" customFormat="1" ht="96" x14ac:dyDescent="0.2">
      <c r="A16" s="150"/>
      <c r="B16" s="31" t="s">
        <v>67</v>
      </c>
      <c r="C16" s="30" t="s">
        <v>66</v>
      </c>
      <c r="D16" s="20" t="str">
        <f>'[6]Results-low'!F45 &amp; CHAR(10) &amp; CHAR(10) &amp; "Type: "&amp;  '[6]Results-low'!F46 &amp; CHAR(10) &amp; CHAR(10) &amp; "Demographics: " &amp;  '[6]Results-low'!F47</f>
        <v xml:space="preserve"> The team who collected the data was the TETIS team.
Type:  The data was collected by an internal team.
Demographics:  No, there is no demographic information of the data collected by the internal team.</v>
      </c>
      <c r="E16" s="20" t="str">
        <f>'[6]Results-low'!G45 &amp; CHAR(10) &amp; CHAR(10) &amp; "Type: "&amp;  '[6]Results-low'!G46 &amp; CHAR(10) &amp; CHAR(10) &amp; "Demographics: " &amp;  '[6]Results-low'!G47</f>
        <v>TETIS
Type: The corpus dataset was curated and mined by the TETIS team
Demographics: No</v>
      </c>
      <c r="F16" s="20" t="s">
        <v>168</v>
      </c>
      <c r="G16" s="32" t="s">
        <v>50</v>
      </c>
      <c r="H16" s="32" t="s">
        <v>3</v>
      </c>
      <c r="I16" s="35" t="s">
        <v>96</v>
      </c>
    </row>
    <row r="17" spans="1:10" s="19" customFormat="1" ht="80" x14ac:dyDescent="0.2">
      <c r="A17" s="150"/>
      <c r="B17" s="31" t="s">
        <v>65</v>
      </c>
      <c r="C17" s="30" t="s">
        <v>64</v>
      </c>
      <c r="D17" s="29" t="str">
        <f>'[6]Results-low'!F40</f>
        <v xml:space="preserve"> Yes</v>
      </c>
      <c r="E17" s="29">
        <f>'[6]Results-low'!G40</f>
        <v>0</v>
      </c>
      <c r="F17" s="29" t="s">
        <v>78</v>
      </c>
      <c r="G17" s="28" t="s">
        <v>42</v>
      </c>
      <c r="H17" s="28" t="s">
        <v>42</v>
      </c>
      <c r="I17" s="35" t="s">
        <v>96</v>
      </c>
      <c r="J17" s="19" t="s">
        <v>96</v>
      </c>
    </row>
    <row r="18" spans="1:10" s="19" customFormat="1" ht="409.6" x14ac:dyDescent="0.2">
      <c r="A18" s="150"/>
      <c r="B18" s="31" t="s">
        <v>62</v>
      </c>
      <c r="C18" s="30" t="s">
        <v>61</v>
      </c>
      <c r="D18" s="20" t="str">
        <f>'[6]Results-low'!F41 &amp; CHAR(10) &amp; CHAR(10) &amp;  '[6]Results-low'!F42 &amp; CHAR(10) &amp; CHAR(10) &amp; "Noise: " &amp;  '[6]Results-low'!F43 &amp; CHAR(10) &amp; CHAR(10) &amp; "Link: " &amp; '[6]Results-low'!F44</f>
        <v xml:space="preserve"> The data has been collected from four Event Based Surveillance (EBS) Systems: ProMED, PADI-web, HealthMap and MedISys. ProMED is a program of the International Society for Infectious Diseases (ISID) launched in 1994 as an Internet service to identify unusual health events related to emerging and re-emerging infectious diseases and toxins affecting humans, animals and plants. PADI-web is an automated EBS tool that monitors the Google News aggregator in sixteen languages. HealthMap is an automated and curated aggregator of a broad range of data sources, such as Twitter, Google News, Baidu and SoSo news aggregators and ProMED in nine languages. MedISys is an EBS system developed by the European Commission Directorate General for Health and Consumers (DG SANCO) and the Joint Research Centre (JRC) of the European Commission.
ProMED, PADI-web, HealthMap and MedISys
Noise:  I don't know.
Link:  I don't know.</v>
      </c>
      <c r="E18" s="20" t="str">
        <f>'[6]Results-low'!G41 &amp; CHAR(10) &amp; CHAR(10) &amp;  '[6]Results-low'!G42 &amp; CHAR(10) &amp; CHAR(10) &amp; "Noise: " &amp;  '[6]Results-low'!G43 &amp; CHAR(10) &amp; CHAR(10) &amp; "Link: " &amp; '[6]Results-low'!G44</f>
        <v>ProMED, PADI-web, HealthMap and MedISys
ProMED, PADI-web, HealthMap and MedISys
Noise: I don't know
Link: not provided</v>
      </c>
      <c r="F18" s="20" t="s">
        <v>169</v>
      </c>
      <c r="G18" s="32" t="s">
        <v>34</v>
      </c>
      <c r="H18" s="32" t="s">
        <v>43</v>
      </c>
      <c r="I18" s="35"/>
    </row>
    <row r="19" spans="1:10" s="19" customFormat="1" ht="48" x14ac:dyDescent="0.2">
      <c r="A19" s="150"/>
      <c r="B19" s="31" t="s">
        <v>60</v>
      </c>
      <c r="C19" s="30" t="s">
        <v>59</v>
      </c>
      <c r="D19" s="20" t="str">
        <f>'[6]Results-low'!F36 &amp; CHAR(10) &amp; CHAR(10) &amp; '[6]Results-low'!F38</f>
        <v xml:space="preserve"> Not provided
 Not provided</v>
      </c>
      <c r="E19" s="20" t="str">
        <f>'[6]Results-low'!G36 &amp; CHAR(10) &amp; CHAR(10) &amp; '[6]Results-low'!G38</f>
        <v>June 2022
ProMED, PADI-web, HealthMap and MedISys</v>
      </c>
      <c r="F19" s="20" t="s">
        <v>134</v>
      </c>
      <c r="G19" s="28" t="s">
        <v>155</v>
      </c>
      <c r="H19" s="28" t="s">
        <v>42</v>
      </c>
      <c r="I19" s="35"/>
    </row>
    <row r="20" spans="1:10" s="19" customFormat="1" ht="173" customHeight="1" x14ac:dyDescent="0.2">
      <c r="A20" s="151" t="s">
        <v>58</v>
      </c>
      <c r="B20" s="24" t="s">
        <v>44</v>
      </c>
      <c r="C20" s="23" t="s">
        <v>57</v>
      </c>
      <c r="D20" s="20" t="str">
        <f>'[6]Results-low'!F49</f>
        <v xml:space="preserve"> The data was annotated by relevance for epidemic intelligence (EI) purposes with the help of AMR experts and an annotation guideline. The annotation process involved an iterative process made of multiple annotation rounds. The first annotation round was done by three AMR experts, who were asked to annotate a sample of 25 AMR related articles extracted from PADI-web. The experts discussed the annotation disagreements, and decided on a reformulation and reﬁnement of the deﬁnitions and on the merging of labels. The goal was to make the guideline as generic as possible and as precise as necessary so that non-expert annotators could annotate the AMR articles without running into ambiguity issues. After this first round of annotations the modiﬁcations were integrated in order to established a ﬁnal guideline version. The sub-datasets coming from each of different EBS-systems were then annotated according to the guidelines.</v>
      </c>
      <c r="E20" s="20" t="str">
        <f>'[6]Results-low'!G49</f>
        <v>The four sub-datasets coming from each of different EBS-systems annotated according to the guidelines describing in the following sub-sections.</v>
      </c>
      <c r="F20" s="20" t="s">
        <v>170</v>
      </c>
      <c r="G20" s="32" t="s">
        <v>50</v>
      </c>
      <c r="H20" s="32" t="s">
        <v>43</v>
      </c>
      <c r="I20" s="35"/>
    </row>
    <row r="21" spans="1:10" s="19" customFormat="1" ht="57" customHeight="1" x14ac:dyDescent="0.2">
      <c r="A21" s="152"/>
      <c r="B21" s="24" t="s">
        <v>56</v>
      </c>
      <c r="C21" s="23" t="s">
        <v>55</v>
      </c>
      <c r="D21" s="20" t="str">
        <f>'[6]Results-low'!F50</f>
        <v xml:space="preserve"> Entity annotation</v>
      </c>
      <c r="E21" s="20" t="str">
        <f>'[6]Results-low'!G50</f>
        <v>Others</v>
      </c>
      <c r="F21" s="20" t="s">
        <v>171</v>
      </c>
      <c r="G21" s="28" t="s">
        <v>34</v>
      </c>
      <c r="H21" s="28" t="s">
        <v>42</v>
      </c>
      <c r="I21" s="26" t="s">
        <v>96</v>
      </c>
    </row>
    <row r="22" spans="1:10" s="19" customFormat="1" ht="44" customHeight="1" x14ac:dyDescent="0.2">
      <c r="A22" s="152"/>
      <c r="B22" s="24" t="s">
        <v>54</v>
      </c>
      <c r="C22" s="23" t="s">
        <v>53</v>
      </c>
      <c r="D22" s="20" t="str">
        <f>'[6]Results-low'!F51</f>
        <v xml:space="preserve">
The dataset has two labels: Thematic Classification and Host Resistance and Pathogen Classification. 
Thematic Classification has three labels: New Information, General Information, and Not Relevant + Don't Know class. 
Host Resistance and Pathogen Classification has seven labels: Humans, Human-animal, Animals, Human-food, Food, Environment, and All.</v>
      </c>
      <c r="E22" s="20" t="str">
        <f>'[6]Results-low'!G51</f>
        <v>New Information, General Information, Not Relevant + Don’t Know class and Humans, Human-animal, Animals, Human-food, Food, Environment, and All</v>
      </c>
      <c r="F22" s="29" t="s">
        <v>172</v>
      </c>
      <c r="G22" s="25" t="s">
        <v>155</v>
      </c>
      <c r="H22" s="25" t="s">
        <v>34</v>
      </c>
      <c r="I22" s="26" t="s">
        <v>96</v>
      </c>
    </row>
    <row r="23" spans="1:10" s="19" customFormat="1" ht="166" customHeight="1" x14ac:dyDescent="0.2">
      <c r="A23" s="152"/>
      <c r="B23" s="24" t="s">
        <v>52</v>
      </c>
      <c r="C23" s="23" t="s">
        <v>51</v>
      </c>
      <c r="D23" s="20" t="str">
        <f>'[6]Results-low'!F52 &amp; CHAR(10) &amp; CHAR(10) &amp; "Type:" &amp;'[6]Results-low'!F53 &amp; CHAR(10) &amp; CHAR(10) &amp; "Demographics:" &amp;'[6]Results-low'!F54</f>
        <v xml:space="preserve"> The data was annotated by three AMR experts.
Type: An internal team.
Demographics: No, there is no demographic information about the team who annotated the data.</v>
      </c>
      <c r="E23" s="20" t="str">
        <f>'[6]Results-low'!G52 &amp; CHAR(10) &amp; CHAR(10) &amp; "Type:" &amp;'[6]Results-low'!G53 &amp; CHAR(10) &amp; CHAR(10) &amp; "Demographics:" &amp;'[6]Results-low'!G54</f>
        <v>AMR experts
Type:an external team
Demographics:No</v>
      </c>
      <c r="F23" s="20" t="s">
        <v>173</v>
      </c>
      <c r="G23" s="28" t="s">
        <v>34</v>
      </c>
      <c r="H23" s="28" t="s">
        <v>42</v>
      </c>
      <c r="I23" s="26"/>
    </row>
    <row r="24" spans="1:10" s="19" customFormat="1" ht="123" customHeight="1" x14ac:dyDescent="0.2">
      <c r="A24" s="152"/>
      <c r="B24" s="24" t="s">
        <v>49</v>
      </c>
      <c r="C24" s="23" t="s">
        <v>48</v>
      </c>
      <c r="D24" s="20" t="str">
        <f>'[6]Results-low'!F55</f>
        <v xml:space="preserve"> AMR experts and an annotation guideline.</v>
      </c>
      <c r="E24" s="20" t="str">
        <f>'[6]Results-low'!G55</f>
        <v>An annotation guideline</v>
      </c>
      <c r="F24" s="20" t="s">
        <v>174</v>
      </c>
      <c r="G24" s="32" t="s">
        <v>34</v>
      </c>
      <c r="H24" s="32" t="s">
        <v>3</v>
      </c>
      <c r="I24" s="33" t="s">
        <v>96</v>
      </c>
    </row>
    <row r="25" spans="1:10" s="19" customFormat="1" ht="60" customHeight="1" x14ac:dyDescent="0.2">
      <c r="A25" s="152"/>
      <c r="B25" s="24" t="s">
        <v>46</v>
      </c>
      <c r="C25" s="23" t="s">
        <v>45</v>
      </c>
      <c r="D25" s="20" t="str">
        <f>'[6]Results-low'!F56</f>
        <v xml:space="preserve"> The dataset has been validated using three evaluation metrics: Precision, recall, and F-measure. The evaluation was done using a 5-cross-validation, where the data was split into five same-sized parts containing the same ratio of output classes. A 80%-train / 20%-test split was used, where the train set was composed of 8 of those parts while the test set was composed of the remaining two. Additionally, a multi-class resampling method called SMOTETomek was used during the training, which combines over and under-sampling techniques employed in the literature to alter the class distributions toward a more balanced distribution.</v>
      </c>
      <c r="E25" s="20" t="str">
        <f>'[6]Results-low'!G56</f>
        <v>5-cross-validation</v>
      </c>
      <c r="F25" s="20" t="s">
        <v>175</v>
      </c>
      <c r="G25" s="28" t="s">
        <v>7</v>
      </c>
      <c r="H25" s="28" t="s">
        <v>42</v>
      </c>
      <c r="I25" s="26" t="s">
        <v>272</v>
      </c>
    </row>
    <row r="26" spans="1:10" s="19" customFormat="1" ht="147" customHeight="1" x14ac:dyDescent="0.2">
      <c r="A26" s="148" t="s">
        <v>41</v>
      </c>
      <c r="B26" s="24" t="s">
        <v>40</v>
      </c>
      <c r="C26" s="23" t="s">
        <v>39</v>
      </c>
      <c r="D26" s="20" t="str">
        <f>'[6]Results-low'!F70</f>
        <v xml:space="preserve"> No, the authors declare that they have no known competing financial interests or personal relationships that could have appeared to influence the work reported in this paper. Additionally, the data is anonymized by removing user names and the names of people in transcripts, and a multi-class resampling method called SMOTETomek is used during the training to alter the class distributions toward a more balanced distribution.</v>
      </c>
      <c r="E26" s="20" t="str">
        <f>'[6]Results-low'!G70</f>
        <v>The datasets composed by both labeled corpora and annotation guidelines are publicly available online.3</v>
      </c>
      <c r="F26" s="20" t="s">
        <v>134</v>
      </c>
      <c r="G26" s="28" t="s">
        <v>155</v>
      </c>
      <c r="H26" s="28" t="s">
        <v>42</v>
      </c>
      <c r="I26" s="26" t="s">
        <v>96</v>
      </c>
    </row>
    <row r="27" spans="1:10" s="19" customFormat="1" ht="96" x14ac:dyDescent="0.2">
      <c r="A27" s="148"/>
      <c r="B27" s="27" t="s">
        <v>38</v>
      </c>
      <c r="C27" s="23" t="s">
        <v>37</v>
      </c>
      <c r="D27" s="20" t="str">
        <f>'[6]Results-low'!F74 &amp; CHAR(10) &amp; '[6]Results-low'!F75 &amp; CHAR(10) &amp; CHAR(10)  &amp; "Sensitivity: " &amp; '[6]Results-low'!F76</f>
        <v xml:space="preserve"> No, the data is anonymized by removing the user names and the names of person in transcripts (using SpaCy for name recognition).
Sensitivity: </v>
      </c>
      <c r="E27" s="20" t="str">
        <f>'[6]Results-low'!G74 &amp; CHAR(10) &amp; '[6]Results-low'!G75 &amp; CHAR(10) &amp; CHAR(10)  &amp; "Sensitivity: " &amp; '[6]Results-low'!G76</f>
        <v xml:space="preserve">The content of media data is anonymized by removing the user names and the names of person in transcripts (using SpaCy for name recognition).
Sensitivity: </v>
      </c>
      <c r="F27" s="20" t="s">
        <v>134</v>
      </c>
      <c r="G27" s="25" t="s">
        <v>155</v>
      </c>
      <c r="H27" s="25" t="s">
        <v>43</v>
      </c>
      <c r="I27" s="26"/>
    </row>
    <row r="28" spans="1:10" s="19" customFormat="1" ht="48" x14ac:dyDescent="0.2">
      <c r="A28" s="148"/>
      <c r="B28" s="24" t="s">
        <v>36</v>
      </c>
      <c r="C28" s="23" t="s">
        <v>35</v>
      </c>
      <c r="D28" s="20" t="str">
        <f>'[6]Results-low'!F74</f>
        <v xml:space="preserve"> No, the data is anonymized by removing the user names and the names of person in transcripts (using SpaCy for name recognition).</v>
      </c>
      <c r="E28" s="20" t="str">
        <f>'[6]Results-low'!G74</f>
        <v>The content of media data is anonymized by removing the user names and the names of person in transcripts (using SpaCy for name recognition).</v>
      </c>
      <c r="F28" s="20" t="s">
        <v>176</v>
      </c>
      <c r="G28" s="21" t="s">
        <v>155</v>
      </c>
      <c r="H28" s="21" t="s">
        <v>3</v>
      </c>
      <c r="I28" s="22" t="s">
        <v>96</v>
      </c>
    </row>
    <row r="29" spans="1:10" ht="24" customHeight="1" x14ac:dyDescent="0.2">
      <c r="H29" s="176" t="s">
        <v>334</v>
      </c>
      <c r="I29" s="177">
        <v>85.71</v>
      </c>
    </row>
  </sheetData>
  <mergeCells count="7">
    <mergeCell ref="A14:A19"/>
    <mergeCell ref="A20:A25"/>
    <mergeCell ref="A26:A28"/>
    <mergeCell ref="A2:A4"/>
    <mergeCell ref="A5:A7"/>
    <mergeCell ref="A8:A10"/>
    <mergeCell ref="A11:A13"/>
  </mergeCells>
  <conditionalFormatting sqref="H73:H80 G2:H28">
    <cfRule type="containsText" dxfId="63" priority="29" operator="containsText" text="Fair">
      <formula>NOT(ISERROR(SEARCH("Fair",G2)))</formula>
    </cfRule>
    <cfRule type="containsText" dxfId="62" priority="30" operator="containsText" text="Bad">
      <formula>NOT(ISERROR(SEARCH("Bad",G2)))</formula>
    </cfRule>
    <cfRule type="containsText" dxfId="61" priority="31" stopIfTrue="1" operator="containsText" text="Good">
      <formula>NOT(ISERROR(SEARCH("Good",G2)))</formula>
    </cfRule>
    <cfRule type="containsText" dxfId="60" priority="32" operator="containsText" text="Hallucinate">
      <formula>NOT(ISERROR(SEARCH("Hallucinate",G2)))</formula>
    </cfRule>
  </conditionalFormatting>
  <conditionalFormatting sqref="H81:H84">
    <cfRule type="containsText" dxfId="59" priority="25" operator="containsText" text="Fair">
      <formula>NOT(ISERROR(SEARCH("Fair",H81)))</formula>
    </cfRule>
    <cfRule type="containsText" dxfId="58" priority="26" operator="containsText" text="Bad">
      <formula>NOT(ISERROR(SEARCH("Bad",H81)))</formula>
    </cfRule>
    <cfRule type="containsText" dxfId="57" priority="27" stopIfTrue="1" operator="containsText" text="Good">
      <formula>NOT(ISERROR(SEARCH("Good",H81)))</formula>
    </cfRule>
    <cfRule type="containsText" dxfId="56" priority="28" operator="containsText" text="Hallucinate">
      <formula>NOT(ISERROR(SEARCH("Hallucinate",H81)))</formula>
    </cfRule>
  </conditionalFormatting>
  <conditionalFormatting sqref="G73:G80">
    <cfRule type="containsText" dxfId="55" priority="13" operator="containsText" text="Fair">
      <formula>NOT(ISERROR(SEARCH("Fair",G73)))</formula>
    </cfRule>
    <cfRule type="containsText" dxfId="54" priority="14" operator="containsText" text="Bad">
      <formula>NOT(ISERROR(SEARCH("Bad",G73)))</formula>
    </cfRule>
    <cfRule type="containsText" dxfId="53" priority="15" stopIfTrue="1" operator="containsText" text="Good">
      <formula>NOT(ISERROR(SEARCH("Good",G73)))</formula>
    </cfRule>
    <cfRule type="containsText" dxfId="52" priority="16" operator="containsText" text="Hallucinate">
      <formula>NOT(ISERROR(SEARCH("Hallucinate",G73)))</formula>
    </cfRule>
  </conditionalFormatting>
  <conditionalFormatting sqref="G81:G84">
    <cfRule type="containsText" dxfId="51" priority="9" operator="containsText" text="Fair">
      <formula>NOT(ISERROR(SEARCH("Fair",G81)))</formula>
    </cfRule>
    <cfRule type="containsText" dxfId="50" priority="10" operator="containsText" text="Bad">
      <formula>NOT(ISERROR(SEARCH("Bad",G81)))</formula>
    </cfRule>
    <cfRule type="containsText" dxfId="49" priority="11" stopIfTrue="1" operator="containsText" text="Good">
      <formula>NOT(ISERROR(SEARCH("Good",G81)))</formula>
    </cfRule>
    <cfRule type="containsText" dxfId="48" priority="12" operator="containsText" text="Hallucinate">
      <formula>NOT(ISERROR(SEARCH("Hallucinate",G81)))</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4DC07-3092-D34D-B914-318CC70202A1}">
  <dimension ref="A1:I29"/>
  <sheetViews>
    <sheetView tabSelected="1" zoomScale="80" zoomScaleNormal="80" workbookViewId="0">
      <selection activeCell="F27" sqref="F27"/>
    </sheetView>
  </sheetViews>
  <sheetFormatPr baseColWidth="10" defaultRowHeight="15" x14ac:dyDescent="0.2"/>
  <cols>
    <col min="1" max="1" width="27.33203125" style="19" customWidth="1"/>
    <col min="2" max="2" width="37.5" style="18" customWidth="1"/>
    <col min="3" max="3" width="34" style="18" customWidth="1"/>
    <col min="4" max="5" width="57.1640625" style="19" customWidth="1"/>
    <col min="6" max="6" width="53" style="17" customWidth="1"/>
    <col min="7" max="8" width="33.6640625" style="17" customWidth="1"/>
    <col min="9" max="9" width="37.33203125" style="17" customWidth="1"/>
    <col min="10" max="16384" width="10.83203125" style="17"/>
  </cols>
  <sheetData>
    <row r="1" spans="1:9" s="19" customFormat="1" ht="33" customHeight="1" thickBot="1" x14ac:dyDescent="0.25">
      <c r="A1" s="44" t="s">
        <v>9</v>
      </c>
      <c r="B1" s="44" t="s">
        <v>105</v>
      </c>
      <c r="C1" s="44" t="s">
        <v>104</v>
      </c>
      <c r="D1" s="42" t="s">
        <v>270</v>
      </c>
      <c r="E1" s="42" t="s">
        <v>19</v>
      </c>
      <c r="F1" s="42" t="s">
        <v>117</v>
      </c>
      <c r="G1" s="43" t="s">
        <v>121</v>
      </c>
      <c r="H1" s="43" t="s">
        <v>177</v>
      </c>
      <c r="I1" s="43" t="s">
        <v>266</v>
      </c>
    </row>
    <row r="2" spans="1:9" s="19" customFormat="1" ht="260" customHeight="1" thickTop="1" x14ac:dyDescent="0.2">
      <c r="A2" s="149" t="s">
        <v>99</v>
      </c>
      <c r="B2" s="31" t="s">
        <v>178</v>
      </c>
      <c r="C2" s="30" t="s">
        <v>97</v>
      </c>
      <c r="D2" s="20" t="str">
        <f>"Purposes: "&amp; '[7]Results-low'!F2&amp;CHAR(10)&amp;CHAR(10)&amp;"Gaps: "&amp;'[7]Results-low'!F5 &amp;CHAR(10)&amp;CHAR(10)&amp;"Tasks: "&amp;'[7]Results-low'!F3 &amp;CHAR(10)&amp;CHAR(10)&amp;"Tags: "&amp;'[7]Results-low'!F4</f>
        <v>Purposes:  The purpose of the dataset is to identify and extract the opinions and attitudes of Kosovo citizens expressed on Facebook about the Covid-19 pandemics by manually annotating comments according to their sentiment, such as positive, negative, and neutral. It can also be used by the research community in the fields of machine learning, information retrieval, affective computing, as well as by public agencies and decision makers.
Gaps:  The dataset intends to fill the gap of labeled data for low-resource languages in the fields of machine learning, information retrieval, affective computing, and education. It can also be used by public agencies and decision makers to prevent the distribution of fake news in social media during crisis situations.
Tasks:  sentiment-analysis, information-retrieval, text-mining
Tags:  sentiment analysis, low-resource languages, machine learning, information retrieval, affective computing, public agencies, decision makers, Covid-19 pandemics, Albanian language, Facebook, NIPHK Institute, data transparency, data reproduction, policy making.</v>
      </c>
      <c r="E2" s="20" t="str">
        <f>"Purposes: "&amp; '[7]Results-low'!G2&amp;CHAR(10)&amp;CHAR(10)&amp;"Gaps: "&amp;'[7]Results-low'!G5 &amp;CHAR(10)&amp;CHAR(10)&amp;"Tasks: "&amp;'[7]Results-low'!G3 &amp;CHAR(10)&amp;CHAR(10)&amp;"Tags: "&amp;'[7]Results-low'!G4</f>
        <v>Purposes: it is a dataset for sentiment analysis of social media comments in Albanian language that would push forward the research in the field of sentiment analysis for low-resource languages; (2) this dataset could serve as a standard benchmark for testing performance of the existing and new machine learning methods and techniques as it is curated and human annotated.
Gaps: (1) it is a dataset for sentiment analysis of social media comments in Albanian language that would push forward the research in the field of sentiment analysis for low-resource languages; (2) this dataset could serve as a standard benchmark for testing performance of the existing and new machine learning methods and techniques as it is curated and human annotated.
Tasks: sentiment-analysis
Tags: neutral, positive, negative</v>
      </c>
      <c r="F2" s="20" t="s">
        <v>179</v>
      </c>
      <c r="G2" s="41" t="s">
        <v>43</v>
      </c>
      <c r="H2" s="41" t="s">
        <v>34</v>
      </c>
      <c r="I2" s="40" t="s">
        <v>96</v>
      </c>
    </row>
    <row r="3" spans="1:9" s="19" customFormat="1" ht="160" customHeight="1" x14ac:dyDescent="0.2">
      <c r="A3" s="150"/>
      <c r="B3" s="31" t="s">
        <v>95</v>
      </c>
      <c r="C3" s="30" t="s">
        <v>94</v>
      </c>
      <c r="D3" s="20" t="str">
        <f>'[7]Results-low'!F7&amp;CHAR(10)&amp;CHAR(10)&amp;'[7]Results-low'!F8</f>
        <v xml:space="preserve"> The dataset is recommended for applications in the fields of machine learning, information retrieval, affective computing, and education, as well as for public agencies and decision makers to prevent the distribution of fake news in social media during crisis situations such as the current Covid-19 pandemics.
 No</v>
      </c>
      <c r="E3" s="20" t="str">
        <f>'[7]Results-low'!G7&amp;CHAR(10)&amp;CHAR(10)&amp;'[7]Results-low'!G8</f>
        <v>(multilingual) sentiment analysis, opinion mining, performance analysis of deep/machine learning models and techniques
no</v>
      </c>
      <c r="F3" s="20" t="s">
        <v>180</v>
      </c>
      <c r="G3" s="28" t="s">
        <v>50</v>
      </c>
      <c r="H3" s="28" t="s">
        <v>42</v>
      </c>
      <c r="I3" s="39" t="s">
        <v>96</v>
      </c>
    </row>
    <row r="4" spans="1:9" s="19" customFormat="1" ht="133" customHeight="1" x14ac:dyDescent="0.2">
      <c r="A4" s="150"/>
      <c r="B4" s="31" t="s">
        <v>93</v>
      </c>
      <c r="C4" s="30" t="s">
        <v>92</v>
      </c>
      <c r="D4" s="20" t="str">
        <f>'[7]Results-low'!F9</f>
        <v>No: No</v>
      </c>
      <c r="E4" s="20" t="str">
        <f>'[7]Results-low'!G9</f>
        <v>A Deep Learning Sentiment Analyser for Social Media Comments in Low-Resource Languages</v>
      </c>
      <c r="F4" s="20" t="s">
        <v>181</v>
      </c>
      <c r="G4" s="32" t="s">
        <v>50</v>
      </c>
      <c r="H4" s="32" t="s">
        <v>42</v>
      </c>
      <c r="I4" s="40"/>
    </row>
    <row r="5" spans="1:9" s="19" customFormat="1" ht="96" x14ac:dyDescent="0.2">
      <c r="A5" s="151" t="s">
        <v>91</v>
      </c>
      <c r="B5" s="24" t="s">
        <v>90</v>
      </c>
      <c r="C5" s="23" t="s">
        <v>89</v>
      </c>
      <c r="D5" s="20" t="str">
        <f>'[7]Results-low'!F11</f>
        <v xml:space="preserve"> Fatbardh Kadriu, University of Prishtina, Prishtina 10000, Kosovo; Doruntina Murtezaj, University of Prishtina, Prishtina 10000, Kosovo; Fatbardh Gashi, University of Prishtina, Prishtina 10000, Kosovo; Lule Ahmedi, University of Prishtina, Prishtina 10000, Kosovo; Arianit Kurti, University of Prishtina, Prishtina 10000, Kosovo; Zenun Kastrati, Linnaeus University, Växjö 351 95, Sweden</v>
      </c>
      <c r="E5" s="20" t="str">
        <f>'[7]Results-low'!G11</f>
        <v>Fatbardh Kadriu, Doruntina Murtezaj, Fatbardh Gashi, Lule Ahmedi, Arianit Kurti, Zenun Kastrati</v>
      </c>
      <c r="F5" s="19" t="s">
        <v>182</v>
      </c>
      <c r="G5" s="32" t="s">
        <v>50</v>
      </c>
      <c r="H5" s="32" t="s">
        <v>50</v>
      </c>
      <c r="I5" s="40" t="s">
        <v>96</v>
      </c>
    </row>
    <row r="6" spans="1:9" s="19" customFormat="1" ht="96" x14ac:dyDescent="0.2">
      <c r="A6" s="152"/>
      <c r="B6" s="24" t="s">
        <v>29</v>
      </c>
      <c r="C6" s="23" t="s">
        <v>88</v>
      </c>
      <c r="D6" s="20" t="str">
        <f>'[7]Results-low'!F12 &amp; CHAR(10) &amp; CHAR(10) &amp; "Type:" &amp; '[7]Results-low'!F13  &amp; CHAR(10) &amp; CHAR(10) &amp; "Grants ID:" &amp; '[7]Results-low'!F14</f>
        <v xml:space="preserve"> No, this research did not receive any specific grant from funding agencies in the public, commercial, or not-for-profit sectors.
Type: Unknown
Grants ID: Not provided</v>
      </c>
      <c r="E6" s="20" t="str">
        <f>'[7]Results-low'!G12 &amp; CHAR(10) &amp; CHAR(10) &amp; "Type:" &amp; '[7]Results-low'!G13  &amp; CHAR(10) &amp; CHAR(10) &amp; "Grants ID:" &amp; '[7]Results-low'!G14</f>
        <v>This research did not receive any specific grant from funding agencies in the public, commercial, or not-for-profit sectors.
Type:public
Grants ID:not provided</v>
      </c>
      <c r="F6" s="20" t="s">
        <v>183</v>
      </c>
      <c r="G6" s="28" t="s">
        <v>50</v>
      </c>
      <c r="H6" s="28" t="s">
        <v>50</v>
      </c>
      <c r="I6" s="40" t="s">
        <v>96</v>
      </c>
    </row>
    <row r="7" spans="1:9" s="19" customFormat="1" ht="302" customHeight="1" x14ac:dyDescent="0.2">
      <c r="A7" s="152"/>
      <c r="B7" s="24" t="s">
        <v>87</v>
      </c>
      <c r="C7" s="23" t="s">
        <v>86</v>
      </c>
      <c r="D7" s="20" t="str">
        <f>'[7]Results-low'!F14 &amp; CHAR(10) &amp; CHAR(10) &amp; "Contribution guidelines:" &amp; '[7]Results-low'!F15  &amp; CHAR(10) &amp; CHAR(10) &amp; "Erratum:" &amp; '[7]Results-low'!F16 &amp; CHAR(10) &amp; CHAR(10) &amp; "Data Retention:" &amp; '[7]Results-low'!F17</f>
        <v xml:space="preserve"> Not provided
Contribution guidelines: The maintainers of the dataset are Fatbardh Kadriu, Doruntina Murtezaj, Fatbardh Gashi, Lule Ahmedi, Arianit Kurti, and Zenun Kastrati.
Erratum: No.
Data Retention: No.</v>
      </c>
      <c r="E7" s="20" t="str">
        <f>'[7]Results-low'!G14 &amp; CHAR(10) &amp; CHAR(10) &amp; "Contribution guidelines:" &amp; '[7]Results-low'!G15  &amp; CHAR(10) &amp; CHAR(10) &amp; "Erratum:" &amp; '[7]Results-low'!G16 &amp; CHAR(10) &amp; CHAR(10) &amp; "Data Retention:" &amp; '[7]Results-low'!G17</f>
        <v>not provided
Contribution guidelines:Fatbardh Kadriu, Doruntina Murtezaj, Fatbardh Gashi, Lule Ahmedi, Arianit Kurti, Zenun Kastrati
Erratum:The dataset described in this article is completely anonymized and does not contain any personal data, and thus we are complying with the regulations provided by the platform owner.
Data Retention:no</v>
      </c>
      <c r="F7" s="20" t="s">
        <v>184</v>
      </c>
      <c r="G7" s="32" t="s">
        <v>50</v>
      </c>
      <c r="H7" s="32" t="s">
        <v>50</v>
      </c>
      <c r="I7" s="39" t="s">
        <v>96</v>
      </c>
    </row>
    <row r="8" spans="1:9" s="19" customFormat="1" ht="48" x14ac:dyDescent="0.2">
      <c r="A8" s="153" t="s">
        <v>85</v>
      </c>
      <c r="B8" s="31" t="s">
        <v>31</v>
      </c>
      <c r="C8" s="30" t="s">
        <v>83</v>
      </c>
      <c r="D8" s="20" t="str">
        <f>'[7]Results-low'!F18</f>
        <v xml:space="preserve"> No.</v>
      </c>
      <c r="E8" s="20" t="str">
        <f>'[7]Results-low'!G18</f>
        <v>no</v>
      </c>
      <c r="F8" s="20" t="s">
        <v>185</v>
      </c>
      <c r="G8" s="28" t="s">
        <v>42</v>
      </c>
      <c r="H8" s="28" t="s">
        <v>42</v>
      </c>
      <c r="I8" s="39" t="s">
        <v>96</v>
      </c>
    </row>
    <row r="9" spans="1:9" s="19" customFormat="1" ht="288" x14ac:dyDescent="0.2">
      <c r="A9" s="150"/>
      <c r="B9" s="31" t="s">
        <v>82</v>
      </c>
      <c r="C9" s="30" t="s">
        <v>81</v>
      </c>
      <c r="D9" s="20" t="str">
        <f>"License: "&amp; '[7]Results-low'!F19 &amp; CHAR(10) &amp; CHAR(10)
&amp; "Thid-parties in-charge: "&amp; '[7]Results-low'!F24 &amp; CHAR(10) &amp; CHAR(10)
&amp; "Attribution notice: "&amp; '[7]Results-low'!F23 &amp; CHAR(10) &amp; CHAR(10)
&amp; "Data Stand-alone:" &amp; '[7]Results-low'!F21  &amp; CHAR(10) &amp; CHAR(10) &amp; "Model trained with the data:" &amp; '[7]Results-low'!F22</f>
        <v>License:  No.
Thid-parties in-charge:  No, the authors of the dataset are in charge of the license and distribution of the dataset.
Attribution notice:  Yes, the authors of the dataset require that the following attribution notice be used when using the dataset: "This dataset is created by Fatbardh Kadriu, Doruntina Murtezaj, Fatbardh Gashi, Lule Ahmedi, Arianit Kurti, and Zenun Kastrati from the University of Prishtina and Linnaeus University."
Data Stand-alone: The rights of the stand-alone dataset include the right to use the dataset for research purposes, the right to share the dataset with the research community, and the right to use the dataset to inform policy making.
Model trained with the data: The rights of the models trained with this data are not specified in the context given.</v>
      </c>
      <c r="E9" s="20" t="str">
        <f>"License: "&amp; '[7]Results-low'!G19 &amp; CHAR(10) &amp; CHAR(10)
&amp; "Thid-parties in-charge: "&amp; '[7]Results-low'!G24 &amp; CHAR(10) &amp; CHAR(10)
&amp; "Attribution notice: "&amp; '[7]Results-low'!G23 &amp; CHAR(10) &amp; CHAR(10)
&amp; "Data Stand-alone:" &amp; '[7]Results-low'!G21  &amp; CHAR(10) &amp; CHAR(10) &amp; "Model trained with the data:" &amp; '[7]Results-low'!G22</f>
        <v>License: Yes
Thid-parties in-charge: no
Attribution notice: no
Data Stand-alone:The dataset described in this article is completely anonymized and does not contain any personal data, and thus we are complying with the regulations provided by the platform owner.
Model trained with the data:The dataset described in this article is completely anonymized and does not contain any personal data, and thus we are complying with the regulations provided by the platform owner.</v>
      </c>
      <c r="F9" s="20" t="s">
        <v>47</v>
      </c>
      <c r="G9" s="32" t="s">
        <v>7</v>
      </c>
      <c r="H9" s="32" t="s">
        <v>42</v>
      </c>
      <c r="I9" s="37" t="s">
        <v>96</v>
      </c>
    </row>
    <row r="10" spans="1:9" s="19" customFormat="1" ht="32" x14ac:dyDescent="0.2">
      <c r="A10" s="150"/>
      <c r="B10" s="31" t="s">
        <v>33</v>
      </c>
      <c r="C10" s="30" t="s">
        <v>80</v>
      </c>
      <c r="D10" s="29" t="str">
        <f>'[7]Results-low'!F25</f>
        <v xml:space="preserve"> No, there is no deprecation plan or policy of the dataset.</v>
      </c>
      <c r="E10" s="29" t="str">
        <f>'[7]Results-low'!G25</f>
        <v>No</v>
      </c>
      <c r="F10" s="29" t="s">
        <v>47</v>
      </c>
      <c r="G10" s="28" t="s">
        <v>50</v>
      </c>
      <c r="H10" s="28" t="s">
        <v>50</v>
      </c>
      <c r="I10" s="37" t="s">
        <v>96</v>
      </c>
    </row>
    <row r="11" spans="1:9" s="19" customFormat="1" ht="192" x14ac:dyDescent="0.2">
      <c r="A11" s="152" t="s">
        <v>77</v>
      </c>
      <c r="B11" s="24" t="s">
        <v>76</v>
      </c>
      <c r="C11" s="23" t="s">
        <v>75</v>
      </c>
      <c r="D11" s="20" t="str">
        <f>"Files:" &amp;'[7]Results-low'!F27 &amp; CHAR(10) &amp; CHAR(10) &amp; "Attributes:" &amp; '[7]Results-low'!F28</f>
        <v>Files: The dataset is composed of a CSV file, an Excel file, and supplementary files hosted in the Mendeley Data repository.
Attributes: No, this article does not provide a description of each file the dataset is composed of.</v>
      </c>
      <c r="E11" s="20" t="str">
        <f>"Files:" &amp;'[7]Results-low'!G27 &amp; CHAR(10) &amp; CHAR(10) &amp; "Attributes:" &amp; '[7]Results-low'!G28</f>
        <v>Files:Excel file containing all the comments from the given post. In addition, the Excel file is enriched with four other attributes and metadata related to the Facebook post. In the second step, five other attributes related to the Covid-19 statistics are added by reading the content of the Facebook post. The third step entails the merge of all Excel files for each Facebook post into a single Excel file. Next the aggregated data set has been processed by anonymizing and removing duplicates as well as profanity language. During the fifth step, three researchers have independently assessed the sentiment of the comments in the dataset
Attributes:The names of all attributes of the dataset and their respective descriptions are presented in Table 1.</v>
      </c>
      <c r="F11" s="20" t="s">
        <v>186</v>
      </c>
      <c r="G11" s="32" t="s">
        <v>43</v>
      </c>
      <c r="H11" s="32" t="s">
        <v>34</v>
      </c>
      <c r="I11" s="37" t="s">
        <v>96</v>
      </c>
    </row>
    <row r="12" spans="1:9" s="19" customFormat="1" ht="32" x14ac:dyDescent="0.2">
      <c r="A12" s="152"/>
      <c r="B12" s="24" t="s">
        <v>74</v>
      </c>
      <c r="C12" s="23" t="s">
        <v>73</v>
      </c>
      <c r="D12" s="20" t="str">
        <f>'[7]Results-low'!F32</f>
        <v xml:space="preserve"> No, the paper does not mention any recommended data split of the dataset.</v>
      </c>
      <c r="E12" s="20" t="str">
        <f>'[7]Results-low'!G32</f>
        <v>Not mentioned</v>
      </c>
      <c r="F12" s="20" t="s">
        <v>47</v>
      </c>
      <c r="G12" s="32" t="s">
        <v>50</v>
      </c>
      <c r="H12" s="32" t="s">
        <v>50</v>
      </c>
      <c r="I12" s="37" t="s">
        <v>96</v>
      </c>
    </row>
    <row r="13" spans="1:9" s="19" customFormat="1" ht="61" customHeight="1" x14ac:dyDescent="0.2">
      <c r="A13" s="152"/>
      <c r="B13" s="24" t="s">
        <v>187</v>
      </c>
      <c r="C13" s="23" t="s">
        <v>188</v>
      </c>
      <c r="D13" s="20" t="str">
        <f>'[7]Results-low'!F31 &amp;  CHAR(10) &amp; CHAR(10) &amp; '[7]Results-low'!F30</f>
        <v xml:space="preserve"> No, there is no explicit consistency rule for the data.
 Yes, Table 3 shows the number of comments for each sentiment class and their respective percentages. Table 7 shows the number of comments in each sentiment class, distributed over months.</v>
      </c>
      <c r="E13" s="20" t="str">
        <f>'[7]Results-low'!G31 &amp;  CHAR(10) &amp; CHAR(10) &amp; '[7]Results-low'!G30</f>
        <v>No
The names of all attributes of the dataset and their respective descriptions are presented in Table 1.</v>
      </c>
      <c r="F13" s="20" t="s">
        <v>189</v>
      </c>
      <c r="G13" s="28" t="s">
        <v>34</v>
      </c>
      <c r="H13" s="28" t="s">
        <v>34</v>
      </c>
      <c r="I13" s="37"/>
    </row>
    <row r="14" spans="1:9" s="19" customFormat="1" ht="191" customHeight="1" x14ac:dyDescent="0.2">
      <c r="A14" s="153" t="s">
        <v>70</v>
      </c>
      <c r="B14" s="31" t="s">
        <v>44</v>
      </c>
      <c r="C14" s="30" t="s">
        <v>69</v>
      </c>
      <c r="D14" s="20" t="str">
        <f>'[7]Results-low'!F34</f>
        <v xml:space="preserve"> The dataset was collected from the National Institute of Public Health of Kosovo (NIPHK) Facebook site from March 12, 2020, when the first case of Covid-19 was confirmed in Kosovo, until August 31, 2020. Comments were collected using the Comment Exporter tool and were in Albanian language. The dataset contains a total of 10,132 comments.</v>
      </c>
      <c r="E14" s="20" t="str">
        <f>'[7]Results-low'!G34</f>
        <v>The initial step is extraction of the comments from Facebook using the Comment Exporter tool.</v>
      </c>
      <c r="F14" s="20" t="s">
        <v>481</v>
      </c>
      <c r="G14" s="28" t="s">
        <v>50</v>
      </c>
      <c r="H14" s="28" t="s">
        <v>43</v>
      </c>
      <c r="I14" s="87" t="s">
        <v>96</v>
      </c>
    </row>
    <row r="15" spans="1:9" s="19" customFormat="1" ht="124" customHeight="1" x14ac:dyDescent="0.2">
      <c r="A15" s="150"/>
      <c r="B15" s="31" t="s">
        <v>56</v>
      </c>
      <c r="C15" s="30" t="s">
        <v>68</v>
      </c>
      <c r="D15" s="20" t="str">
        <f>'[7]Results-low'!F35</f>
        <v xml:space="preserve"> Web Scrapping</v>
      </c>
      <c r="E15" s="20" t="str">
        <f>'[7]Results-low'!G35</f>
        <v>User-generated content data</v>
      </c>
      <c r="F15" s="20" t="s">
        <v>482</v>
      </c>
      <c r="G15" s="28" t="s">
        <v>34</v>
      </c>
      <c r="H15" s="28" t="s">
        <v>34</v>
      </c>
      <c r="I15" s="35" t="s">
        <v>96</v>
      </c>
    </row>
    <row r="16" spans="1:9" s="19" customFormat="1" ht="128" x14ac:dyDescent="0.2">
      <c r="A16" s="150"/>
      <c r="B16" s="31" t="s">
        <v>67</v>
      </c>
      <c r="C16" s="30" t="s">
        <v>66</v>
      </c>
      <c r="D16" s="20" t="str">
        <f>'[7]Results-low'!F45 &amp; CHAR(10) &amp; CHAR(10) &amp; "Type: "&amp;  '[7]Results-low'!F46 &amp; CHAR(10) &amp; CHAR(10) &amp; "Demographics: " &amp;  '[7]Results-low'!F47</f>
        <v xml:space="preserve"> The team who collected the data was Fatbardh Kadriu, Doruntina Murtezaj, Fatbardh Gashi, Lule Ahmedi, Arianit Kurti, and Zenun Kastrati from the University of Prishtina and Linnaeus University.
Type:  The data was collected by an internal team.
Demographics:  No, there is no demographic information of the data collected by the internal team.</v>
      </c>
      <c r="E16" s="20" t="str">
        <f>'[7]Results-low'!G45 &amp; CHAR(10) &amp; CHAR(10) &amp; "Type: "&amp;  '[7]Results-low'!G46 &amp; CHAR(10) &amp; CHAR(10) &amp; "Demographics: " &amp;  '[7]Results-low'!G47</f>
        <v>Fatbardh Kadriu, Doruntina Murtezaj, Fatbardh Gashi, Lule Ahmedi, Arianit Kurti, Zenun Kastrati
Type: an external team
Demographics: No</v>
      </c>
      <c r="F16" s="20" t="s">
        <v>90</v>
      </c>
      <c r="G16" s="32" t="s">
        <v>50</v>
      </c>
      <c r="H16" s="32" t="s">
        <v>42</v>
      </c>
      <c r="I16" s="35" t="s">
        <v>96</v>
      </c>
    </row>
    <row r="17" spans="1:9" s="19" customFormat="1" ht="80" x14ac:dyDescent="0.2">
      <c r="A17" s="150"/>
      <c r="B17" s="31" t="s">
        <v>65</v>
      </c>
      <c r="C17" s="30" t="s">
        <v>64</v>
      </c>
      <c r="D17" s="29" t="str">
        <f>'[7]Results-low'!F40</f>
        <v xml:space="preserve"> Yes</v>
      </c>
      <c r="E17" s="29" t="str">
        <f>'[7]Results-low'!G40</f>
        <v>Yes</v>
      </c>
      <c r="F17" s="29" t="s">
        <v>483</v>
      </c>
      <c r="G17" s="28" t="s">
        <v>34</v>
      </c>
      <c r="H17" s="28" t="s">
        <v>42</v>
      </c>
      <c r="I17" s="35" t="s">
        <v>96</v>
      </c>
    </row>
    <row r="18" spans="1:9" s="19" customFormat="1" ht="192" x14ac:dyDescent="0.2">
      <c r="A18" s="150"/>
      <c r="B18" s="31" t="s">
        <v>62</v>
      </c>
      <c r="C18" s="30" t="s">
        <v>61</v>
      </c>
      <c r="D18" s="20" t="str">
        <f>'[7]Results-low'!F41 &amp; CHAR(10) &amp; CHAR(10) &amp;  '[7]Results-low'!F42 &amp; CHAR(10) &amp; CHAR(10) &amp; "Noise: " &amp;  '[7]Results-low'!F43 &amp; CHAR(10) &amp; CHAR(10) &amp; "Link: " &amp; '[7]Results-low'!F44</f>
        <v xml:space="preserve"> The data has been collected from the official Facebook page of the National Institute of Public Health of Kosovo (NIPHK). It contains 10,132 comments in the Albanian language that are human-annotated for sentiment analysis.
 The National Institute of Public Health of Kosovo (NIPHK) Facebook page.
Noise:  It is possible that there could be noise or potential bias in the data source, as it is a Facebook page and not a scientific study.
Link:  No, I don't know of any link to access the data source.</v>
      </c>
      <c r="E18" s="20" t="str">
        <f>'[7]Results-low'!G41 &amp; CHAR(10) &amp; CHAR(10) &amp;  '[7]Results-low'!G42 &amp; CHAR(10) &amp; CHAR(10) &amp; "Noise: " &amp;  '[7]Results-low'!G43 &amp; CHAR(10) &amp; CHAR(10) &amp; "Link: " &amp; '[7]Results-low'!G44</f>
        <v>Facebook
Facebook
Noise: I don't know
Link: not provided</v>
      </c>
      <c r="F18" s="20" t="s">
        <v>484</v>
      </c>
      <c r="G18" s="32" t="s">
        <v>34</v>
      </c>
      <c r="H18" s="32" t="s">
        <v>43</v>
      </c>
      <c r="I18" s="35"/>
    </row>
    <row r="19" spans="1:9" s="19" customFormat="1" ht="48" x14ac:dyDescent="0.2">
      <c r="A19" s="150"/>
      <c r="B19" s="31" t="s">
        <v>60</v>
      </c>
      <c r="C19" s="30" t="s">
        <v>59</v>
      </c>
      <c r="D19" s="20" t="str">
        <f>'[7]Results-low'!F36 &amp; CHAR(10) &amp; CHAR(10) &amp; '[7]Results-low'!F38</f>
        <v xml:space="preserve"> March 12, 2020 - August 31, 2020
 Kosovo</v>
      </c>
      <c r="E19" s="20" t="str">
        <f>'[7]Results-low'!G36 &amp; CHAR(10) &amp; CHAR(10) &amp; '[7]Results-low'!G38</f>
        <v>March 12 till August 31, 2020
Facebook</v>
      </c>
      <c r="F19" s="20" t="s">
        <v>485</v>
      </c>
      <c r="G19" s="28" t="s">
        <v>34</v>
      </c>
      <c r="H19" s="28" t="s">
        <v>50</v>
      </c>
      <c r="I19" s="35"/>
    </row>
    <row r="20" spans="1:9" s="19" customFormat="1" ht="173" customHeight="1" x14ac:dyDescent="0.2">
      <c r="A20" s="151" t="s">
        <v>58</v>
      </c>
      <c r="B20" s="24" t="s">
        <v>44</v>
      </c>
      <c r="C20" s="23" t="s">
        <v>57</v>
      </c>
      <c r="D20" s="20" t="str">
        <f>'[7]Results-low'!F49</f>
        <v xml:space="preserve"> The data of the dataset has been annotated by three researchers independently assessing the sentiment of the comments in the dataset. Assessment has been done using three sentiment polarities: positive, negative, and neutral. The final sentiment of each comment is assigned using a majority voting scheme.</v>
      </c>
      <c r="E20" s="20" t="str">
        <f>'[7]Results-low'!G49</f>
        <v>Three annotators have annotated the same data samples independently and an inter-annotator disagreement is calculated using Pearson correlation.</v>
      </c>
      <c r="F20" s="20" t="s">
        <v>486</v>
      </c>
      <c r="G20" s="32" t="s">
        <v>50</v>
      </c>
      <c r="H20" s="32" t="s">
        <v>34</v>
      </c>
      <c r="I20" s="35"/>
    </row>
    <row r="21" spans="1:9" s="19" customFormat="1" ht="57" customHeight="1" x14ac:dyDescent="0.2">
      <c r="A21" s="152"/>
      <c r="B21" s="24" t="s">
        <v>56</v>
      </c>
      <c r="C21" s="23" t="s">
        <v>55</v>
      </c>
      <c r="D21" s="20" t="str">
        <f>'[7]Results-low'!F50</f>
        <v xml:space="preserve"> Content and textual categorization</v>
      </c>
      <c r="E21" s="20" t="str">
        <f>'[7]Results-low'!G50</f>
        <v>Image and video annotations</v>
      </c>
      <c r="F21" s="20" t="s">
        <v>488</v>
      </c>
      <c r="G21" s="28" t="s">
        <v>50</v>
      </c>
      <c r="H21" s="28" t="s">
        <v>50</v>
      </c>
      <c r="I21" s="26" t="s">
        <v>96</v>
      </c>
    </row>
    <row r="22" spans="1:9" s="19" customFormat="1" ht="44" customHeight="1" x14ac:dyDescent="0.2">
      <c r="A22" s="152"/>
      <c r="B22" s="24" t="s">
        <v>54</v>
      </c>
      <c r="C22" s="23" t="s">
        <v>53</v>
      </c>
      <c r="D22" s="20" t="str">
        <f>'[7]Results-low'!F51</f>
        <v xml:space="preserve"> The dataset contains 12 attributes. The names of all attributes of the dataset and their respective descriptions are presented in Table 1. The attributes are: Comment ID, Comment Text, Post ID, Post URL, Post Text, Post Date, Post Type, Post Shares, Post Likes, Post Comments, Post Reactions, and Post Impressions.</v>
      </c>
      <c r="E22" s="20" t="str">
        <f>'[7]Results-low'!G51</f>
        <v>positive, negative, neutral</v>
      </c>
      <c r="F22" s="29" t="s">
        <v>487</v>
      </c>
      <c r="G22" s="25" t="s">
        <v>43</v>
      </c>
      <c r="H22" s="25" t="s">
        <v>50</v>
      </c>
      <c r="I22" s="26" t="s">
        <v>96</v>
      </c>
    </row>
    <row r="23" spans="1:9" s="19" customFormat="1" ht="166" customHeight="1" x14ac:dyDescent="0.2">
      <c r="A23" s="152"/>
      <c r="B23" s="24" t="s">
        <v>52</v>
      </c>
      <c r="C23" s="23" t="s">
        <v>51</v>
      </c>
      <c r="D23" s="20" t="str">
        <f>'[7]Results-low'!F52 &amp; CHAR(10) &amp; CHAR(10) &amp; "Type:" &amp;'[7]Results-low'!F53 &amp; CHAR(10) &amp; CHAR(10) &amp; "Demographics:" &amp;'[7]Results-low'!F54</f>
        <v xml:space="preserve"> Three researchers have independently annotated the same data samples.
Type: An internal team.
Demographics: No, there is no demographic information about the team who annotate the data.</v>
      </c>
      <c r="E23" s="20" t="str">
        <f>'[7]Results-low'!G52 &amp; CHAR(10) &amp; CHAR(10) &amp; "Type:" &amp;'[7]Results-low'!G53 &amp; CHAR(10) &amp; CHAR(10) &amp; "Demographics:" &amp;'[7]Results-low'!G54</f>
        <v>Three annotators
Type:an internal team
Demographics:No</v>
      </c>
      <c r="F23" s="20" t="s">
        <v>489</v>
      </c>
      <c r="G23" s="28" t="s">
        <v>50</v>
      </c>
      <c r="H23" s="28" t="s">
        <v>34</v>
      </c>
      <c r="I23" s="26"/>
    </row>
    <row r="24" spans="1:9" s="19" customFormat="1" ht="123" customHeight="1" x14ac:dyDescent="0.2">
      <c r="A24" s="152"/>
      <c r="B24" s="24" t="s">
        <v>49</v>
      </c>
      <c r="C24" s="23" t="s">
        <v>48</v>
      </c>
      <c r="D24" s="20" t="str">
        <f>'[7]Results-low'!F55</f>
        <v xml:space="preserve"> Three researchers have independently assessed the sentiment of the comments in the dataset.</v>
      </c>
      <c r="E24" s="20" t="str">
        <f>'[7]Results-low'!G55</f>
        <v>Comment Exporter</v>
      </c>
      <c r="F24" s="20" t="s">
        <v>490</v>
      </c>
      <c r="G24" s="32" t="s">
        <v>50</v>
      </c>
      <c r="H24" s="32" t="s">
        <v>43</v>
      </c>
      <c r="I24" s="33" t="s">
        <v>96</v>
      </c>
    </row>
    <row r="25" spans="1:9" s="19" customFormat="1" ht="60" customHeight="1" x14ac:dyDescent="0.2">
      <c r="A25" s="152"/>
      <c r="B25" s="24" t="s">
        <v>46</v>
      </c>
      <c r="C25" s="23" t="s">
        <v>45</v>
      </c>
      <c r="D25" s="20" t="str">
        <f>'[7]Results-low'!F56</f>
        <v xml:space="preserve"> The accuracy of the manually labeled data was assessed using Annotation Redundancy with Targeted Quality Assurance. Three annotators have annotated the same data samples independently and an inter-annotator disagreement was calculated using Pearson correlation. Correlation values between the three annotators were also calculated and Fleiss’s Kappa statistical measure was used to calculate the reliability of the agreement between the annotators.</v>
      </c>
      <c r="E25" s="20" t="str">
        <f>'[7]Results-low'!G56</f>
        <v>Annotation Redundancy with Targeted Quality Assurance</v>
      </c>
      <c r="F25" s="20" t="s">
        <v>491</v>
      </c>
      <c r="G25" s="28" t="s">
        <v>50</v>
      </c>
      <c r="H25" s="28" t="s">
        <v>34</v>
      </c>
      <c r="I25" s="26"/>
    </row>
    <row r="26" spans="1:9" s="19" customFormat="1" ht="96" x14ac:dyDescent="0.2">
      <c r="A26" s="148" t="s">
        <v>41</v>
      </c>
      <c r="B26" s="24" t="s">
        <v>40</v>
      </c>
      <c r="C26" s="23" t="s">
        <v>39</v>
      </c>
      <c r="D26" s="20" t="str">
        <f>'[7]Results-low'!F73</f>
        <v xml:space="preserve"> No, the authors have declared that they have no known competing financial interests or personal relationships which have or could be perceived to have influenced the work reported in this article. Additionally, the data has been collected according to the data owner terms of service and is completely anonymized and does not contain any personal data.</v>
      </c>
      <c r="E26" s="20" t="str">
        <f>'[7]Results-low'!G73</f>
        <v>The dataset described in this article is completely anonymized and does not contain any personal data, and thus we are complying with the regulations provided by the platform owner.</v>
      </c>
      <c r="F26" s="20" t="s">
        <v>493</v>
      </c>
      <c r="G26" s="28" t="s">
        <v>43</v>
      </c>
      <c r="H26" s="28" t="s">
        <v>42</v>
      </c>
      <c r="I26" s="26" t="s">
        <v>96</v>
      </c>
    </row>
    <row r="27" spans="1:9" s="19" customFormat="1" ht="192" x14ac:dyDescent="0.2">
      <c r="A27" s="148"/>
      <c r="B27" s="24" t="s">
        <v>190</v>
      </c>
      <c r="C27" s="23" t="s">
        <v>191</v>
      </c>
      <c r="D27" s="20" t="str">
        <f>'[7]Results-low'!F74 &amp; CHAR(10) &amp; '[7]Results-low'!F75 &amp; "Sensitivity: " &amp; '[7]Results-low'!F76</f>
        <v xml:space="preserve"> No, the dataset is completely anonymized and does not contain any personal data, so it is compliant with the regulations provided by the platform owner.
 No, the dataset is balanced. The neutral comments dominate, whereas the positive comments are less represented. The annotators 1 and 3 have the strongest agreement with a correlation of 0.62. Fleiss’s Kappa coeﬃcient for the three annotators is 0.60, which is considered a moderate agreement. The maximum number of neutral and negative comments is reported in July, and the highest number of positive comments is in May.Sensitivity:  No, the dataset is completely anonymized and does not contain any personal data. It is also curated and human annotated to remove any profanity language.</v>
      </c>
      <c r="E27" s="20" t="str">
        <f>'[7]Results-low'!G74 &amp; CHAR(10) &amp; '[7]Results-low'!G75 &amp; "Sensitivity: " &amp; '[7]Results-low'!G76</f>
        <v>The dataset described in this article is completely anonymized and does not contain any personal data, and thus we are complying with the regulations provided by the platform owner.
neutral comments dominate, whereas the positive comments are less representedSensitivity: The dataset described in this article is completely anonymized and does not contain any personal data, and thus we are complying with the regulations provided by the platform owner.</v>
      </c>
      <c r="F27" s="20" t="s">
        <v>493</v>
      </c>
      <c r="G27" s="25" t="s">
        <v>34</v>
      </c>
      <c r="H27" s="25" t="s">
        <v>42</v>
      </c>
      <c r="I27" s="26"/>
    </row>
    <row r="28" spans="1:9" s="19" customFormat="1" ht="48" x14ac:dyDescent="0.2">
      <c r="A28" s="148"/>
      <c r="B28" s="24" t="s">
        <v>36</v>
      </c>
      <c r="C28" s="23" t="s">
        <v>35</v>
      </c>
      <c r="D28" s="20" t="str">
        <f>'[7]Results-low'!F77</f>
        <v xml:space="preserve"> No, the dataset is completely anonymized and does not contain any personal data, and thus we are complying with the regulations provided by the platform owner.</v>
      </c>
      <c r="E28" s="20" t="str">
        <f>'[7]Results-low'!G77</f>
        <v>The dataset described in this article is completely anonymized and does not contain any personal data, and thus we are complying with the regulations provided by the platform owner.</v>
      </c>
      <c r="F28" s="20" t="s">
        <v>492</v>
      </c>
      <c r="G28" s="21" t="s">
        <v>50</v>
      </c>
      <c r="H28" s="21" t="s">
        <v>50</v>
      </c>
      <c r="I28" s="22" t="s">
        <v>96</v>
      </c>
    </row>
    <row r="29" spans="1:9" ht="24" customHeight="1" x14ac:dyDescent="0.2">
      <c r="H29" s="176" t="s">
        <v>334</v>
      </c>
      <c r="I29" s="177">
        <v>82.14</v>
      </c>
    </row>
  </sheetData>
  <mergeCells count="7">
    <mergeCell ref="A26:A28"/>
    <mergeCell ref="A2:A4"/>
    <mergeCell ref="A5:A7"/>
    <mergeCell ref="A8:A10"/>
    <mergeCell ref="A11:A13"/>
    <mergeCell ref="A14:A19"/>
    <mergeCell ref="A20:A25"/>
  </mergeCells>
  <conditionalFormatting sqref="H73:H80 G2:H28">
    <cfRule type="containsText" dxfId="47" priority="29" operator="containsText" text="Fair">
      <formula>NOT(ISERROR(SEARCH("Fair",G2)))</formula>
    </cfRule>
    <cfRule type="containsText" dxfId="46" priority="30" operator="containsText" text="Bad">
      <formula>NOT(ISERROR(SEARCH("Bad",G2)))</formula>
    </cfRule>
    <cfRule type="containsText" dxfId="45" priority="31" stopIfTrue="1" operator="containsText" text="Good">
      <formula>NOT(ISERROR(SEARCH("Good",G2)))</formula>
    </cfRule>
    <cfRule type="containsText" dxfId="44" priority="32" operator="containsText" text="Hallucinate">
      <formula>NOT(ISERROR(SEARCH("Hallucinate",G2)))</formula>
    </cfRule>
  </conditionalFormatting>
  <conditionalFormatting sqref="H81:H84">
    <cfRule type="containsText" dxfId="43" priority="25" operator="containsText" text="Fair">
      <formula>NOT(ISERROR(SEARCH("Fair",H81)))</formula>
    </cfRule>
    <cfRule type="containsText" dxfId="42" priority="26" operator="containsText" text="Bad">
      <formula>NOT(ISERROR(SEARCH("Bad",H81)))</formula>
    </cfRule>
    <cfRule type="containsText" dxfId="41" priority="27" stopIfTrue="1" operator="containsText" text="Good">
      <formula>NOT(ISERROR(SEARCH("Good",H81)))</formula>
    </cfRule>
    <cfRule type="containsText" dxfId="40" priority="28" operator="containsText" text="Hallucinate">
      <formula>NOT(ISERROR(SEARCH("Hallucinate",H81)))</formula>
    </cfRule>
  </conditionalFormatting>
  <conditionalFormatting sqref="G73:G80">
    <cfRule type="containsText" dxfId="39" priority="21" operator="containsText" text="Fair">
      <formula>NOT(ISERROR(SEARCH("Fair",G73)))</formula>
    </cfRule>
    <cfRule type="containsText" dxfId="38" priority="22" operator="containsText" text="Bad">
      <formula>NOT(ISERROR(SEARCH("Bad",G73)))</formula>
    </cfRule>
    <cfRule type="containsText" dxfId="37" priority="23" stopIfTrue="1" operator="containsText" text="Good">
      <formula>NOT(ISERROR(SEARCH("Good",G73)))</formula>
    </cfRule>
    <cfRule type="containsText" dxfId="36" priority="24" operator="containsText" text="Hallucinate">
      <formula>NOT(ISERROR(SEARCH("Hallucinate",G73)))</formula>
    </cfRule>
  </conditionalFormatting>
  <conditionalFormatting sqref="G81:G84">
    <cfRule type="containsText" dxfId="35" priority="17" operator="containsText" text="Fair">
      <formula>NOT(ISERROR(SEARCH("Fair",G81)))</formula>
    </cfRule>
    <cfRule type="containsText" dxfId="34" priority="18" operator="containsText" text="Bad">
      <formula>NOT(ISERROR(SEARCH("Bad",G81)))</formula>
    </cfRule>
    <cfRule type="containsText" dxfId="33" priority="19" stopIfTrue="1" operator="containsText" text="Good">
      <formula>NOT(ISERROR(SEARCH("Good",G81)))</formula>
    </cfRule>
    <cfRule type="containsText" dxfId="32" priority="20" operator="containsText" text="Hallucinate">
      <formula>NOT(ISERROR(SEARCH("Hallucinate",G81)))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40BC8-6985-B742-8205-7A8FFDCCB63A}">
  <dimension ref="A1:I29"/>
  <sheetViews>
    <sheetView topLeftCell="E14" zoomScaleNormal="100" workbookViewId="0">
      <selection activeCell="I1" sqref="I1:I1048576"/>
    </sheetView>
  </sheetViews>
  <sheetFormatPr baseColWidth="10" defaultRowHeight="15" x14ac:dyDescent="0.2"/>
  <cols>
    <col min="1" max="1" width="27.33203125" style="19" customWidth="1"/>
    <col min="2" max="2" width="37.5" style="18" customWidth="1"/>
    <col min="3" max="3" width="34" style="18" customWidth="1"/>
    <col min="4" max="5" width="57.1640625" style="19" customWidth="1"/>
    <col min="6" max="6" width="53" style="17" customWidth="1"/>
    <col min="7" max="8" width="33.6640625" style="17" customWidth="1"/>
    <col min="9" max="9" width="37.33203125" style="17" customWidth="1"/>
    <col min="10" max="16384" width="10.83203125" style="17"/>
  </cols>
  <sheetData>
    <row r="1" spans="1:9" s="19" customFormat="1" ht="33" customHeight="1" thickBot="1" x14ac:dyDescent="0.25">
      <c r="A1" s="44" t="s">
        <v>9</v>
      </c>
      <c r="B1" s="44" t="s">
        <v>105</v>
      </c>
      <c r="C1" s="44" t="s">
        <v>104</v>
      </c>
      <c r="D1" s="42" t="s">
        <v>270</v>
      </c>
      <c r="E1" s="42" t="s">
        <v>19</v>
      </c>
      <c r="F1" s="42" t="s">
        <v>117</v>
      </c>
      <c r="G1" s="43" t="s">
        <v>101</v>
      </c>
      <c r="H1" s="43" t="s">
        <v>222</v>
      </c>
      <c r="I1" s="43" t="s">
        <v>266</v>
      </c>
    </row>
    <row r="2" spans="1:9" s="19" customFormat="1" ht="260" customHeight="1" thickTop="1" x14ac:dyDescent="0.2">
      <c r="A2" s="149" t="s">
        <v>99</v>
      </c>
      <c r="B2" s="38" t="s">
        <v>98</v>
      </c>
      <c r="C2" s="30" t="s">
        <v>97</v>
      </c>
      <c r="D2" s="20" t="str">
        <f>"Purposes: "&amp; '[8]Results-low'!F2&amp;CHAR(10)&amp;CHAR(10)&amp;"Gaps: "&amp;'[8]Results-low'!F5 &amp;CHAR(10)&amp;CHAR(10)&amp;"Tasks: "&amp;'[8]Results-low'!F3 &amp;CHAR(10)&amp;CHAR(10)&amp;"Tags: "&amp;'[8]Results-low'!F4</f>
        <v>Purposes:  The dataset is intended to help researchers in computer vision develop new algorithms for prostate cancer detection, serve as a training dataset for developing new algorithms, and serve as a test set for trained algorithms to check their performance and generalizability.
Gaps:  The dataset intends to fill the gaps in the availability of open data and code for prostate and PCa segmentation, and to increase the availability of expert-segmented representative datasets of 158 3T bpMRIs that conform to PI-RADS v2.1 guidelines.
Tasks:  classification, object-detection, image-segmentation
Tags:  Prostate cancer, MRI, segmentation, deep learning, 3T MRI, PI-RADS, Charité Universitätsmedizin Berlin, NIfTI, axial plane, expert annotations, anatomical zones, tumor zones, open source, training data, validation, test dataset, overfitting, open data, code, 3.0 Tesla, DWI, ADC, b-values, PACS, Siemens VIDA, Skyra, B1 shimming.</v>
      </c>
      <c r="E2" s="20" t="str">
        <f>"Purposes: "&amp; '[8]Results-low'!G2&amp;CHAR(10)&amp;CHAR(10)&amp;"Gaps: "&amp;'[8]Results-low'!G5 &amp;CHAR(10)&amp;CHAR(10)&amp;"Tasks: "&amp;'[8]Results-low'!G3 &amp;CHAR(10)&amp;CHAR(10)&amp;"Tags: "&amp;'[8]Results-low'!G4</f>
        <v>Purposes: To increase the availability of open data and code for prostate and PCa segmentation
Gaps: Expert annotated MRI datasets of confirmed prostate cancer are rare [8,12,13], but are needed to develop sufficient deep learning algorithms to assist radiologists and urologists in the detection and treatment of prostate cancer.
Tasks: image-segmentation
Tags: MRI, prostate, cancer, PI-RADS, MRI, PI-RADS, MRI, PI-RADS, PI-RADS, PI-RADS, PI-RADS, PI-RADS, PI-RADS, PI-RADS, PI-RADS, PI-RADS, PI-RADS, PI-RADS, PI-RADS, PI-RADS, PI-RADS, PI-RADS, PI-RADS, PI-RADS,</v>
      </c>
      <c r="F2" s="20" t="str">
        <f>"Purposes: "&amp; '[8]Results-low'!H2&amp;CHAR(10)&amp;CHAR(10)&amp;"Gaps: "&amp;'[8]Results-low'!H5 &amp;CHAR(10)&amp;CHAR(10)&amp;"Tasks: "&amp;'[8]Results-low'!H3 &amp;CHAR(10)&amp;CHAR(10)&amp;"Tags: "&amp;'[8]Results-low'!H4</f>
        <v xml:space="preserve">Purposes: This dataset provides segmentations from experts in urologic radiology which were exten- sively reviewed to ensure high quality segmentations. Researchers in computer vision, who do not have access to medical data and/or radiologic expertise, can therefore use it to de- velop new algorithms for prostate cancer detection
Gaps: Expert annotated MRI datasets of confirmed prostate cancer are rare [8 , 12 , 13] , but are needed to develop sufficient deep learning algorithms to assist radiologists and urologists in the de- tection and treatment of prostate cancer. 
Tasks: object-detection, image-segmentation
Tags: </v>
      </c>
      <c r="G2" s="41" t="s">
        <v>34</v>
      </c>
      <c r="H2" s="41" t="s">
        <v>34</v>
      </c>
      <c r="I2" s="40" t="s">
        <v>96</v>
      </c>
    </row>
    <row r="3" spans="1:9" s="19" customFormat="1" ht="160" customHeight="1" x14ac:dyDescent="0.2">
      <c r="A3" s="150"/>
      <c r="B3" s="31" t="s">
        <v>95</v>
      </c>
      <c r="C3" s="30" t="s">
        <v>94</v>
      </c>
      <c r="D3" s="20" t="str">
        <f>'[8]Results-low'!F7&amp;CHAR(10)&amp;CHAR(10)&amp;'[8]Results-low'!F8</f>
        <v xml:space="preserve"> The dataset is recommended for developing new algorithms for prostate cancer detection and for testing trained algorithms to check their performance and generalizability.
 No</v>
      </c>
      <c r="E3" s="20" t="str">
        <f>'[8]Results-low'!G7&amp;CHAR(10)&amp;CHAR(10)&amp;'[8]Results-low'!G8</f>
        <v>The dataset can serve either as a training dataset for developing new algorithms or as a test set for trained algorithms to check their performance and generalizability.
no</v>
      </c>
      <c r="F3" s="20" t="str">
        <f>'[8]Results-low'!H7&amp;CHAR(10)&amp;CHAR(10)&amp;'[8]Results-low'!H8</f>
        <v>The dataset can serve either as a training dataset for developing new algorithms or as a test set for trained algorithms to check their performance and generalizability.
No</v>
      </c>
      <c r="G3" s="28" t="s">
        <v>34</v>
      </c>
      <c r="H3" s="28" t="s">
        <v>34</v>
      </c>
      <c r="I3" s="39" t="s">
        <v>96</v>
      </c>
    </row>
    <row r="4" spans="1:9" s="19" customFormat="1" ht="133" customHeight="1" x14ac:dyDescent="0.2">
      <c r="A4" s="150"/>
      <c r="B4" s="31" t="s">
        <v>93</v>
      </c>
      <c r="C4" s="30" t="s">
        <v>92</v>
      </c>
      <c r="D4" s="20" t="str">
        <f>'[8]Results-low'!F9</f>
        <v>No: UNSURE</v>
      </c>
      <c r="E4" s="20" t="str">
        <f>'[8]Results-low'!G9</f>
        <v>U-Net</v>
      </c>
      <c r="F4" s="20" t="str">
        <f>'[8]Results-low'!H9</f>
        <v>No</v>
      </c>
      <c r="G4" s="32" t="s">
        <v>42</v>
      </c>
      <c r="H4" s="32" t="s">
        <v>34</v>
      </c>
      <c r="I4" s="40"/>
    </row>
    <row r="5" spans="1:9" s="19" customFormat="1" ht="48" x14ac:dyDescent="0.2">
      <c r="A5" s="151" t="s">
        <v>91</v>
      </c>
      <c r="B5" s="24" t="s">
        <v>90</v>
      </c>
      <c r="C5" s="23" t="s">
        <v>89</v>
      </c>
      <c r="D5" s="20" t="str">
        <f>'[8]Results-low'!F11</f>
        <v xml:space="preserve"> Lisa C. Adams, Marcus R. Makowski, Günther Engel, Maximilian Rattunde, Felix Busch, Patrick Asbach, Stefan M. Niehues, Shankeeth Vinayahalingam, Bram van Ginneken, Geert Litjens, Keno K. Bressem</v>
      </c>
      <c r="E5" s="20" t="str">
        <f>'[8]Results-low'!G11</f>
        <v>Lisa C. Adams, Marcus R. Makowski, Günther Engel , Maximilian Rattunde, Felix Busch, Patrick Asbach, Stefan M. Niehues , Shankeeth Vinayahalingam, Bram van Ginneken, Geert Litjens, Keno K. Bressem</v>
      </c>
      <c r="F5" s="20" t="str">
        <f>'[8]Results-low'!H11</f>
        <v>Paper authors</v>
      </c>
      <c r="G5" s="32" t="s">
        <v>34</v>
      </c>
      <c r="H5" s="32" t="s">
        <v>34</v>
      </c>
      <c r="I5" s="40" t="s">
        <v>96</v>
      </c>
    </row>
    <row r="6" spans="1:9" s="19" customFormat="1" ht="112" x14ac:dyDescent="0.2">
      <c r="A6" s="152"/>
      <c r="B6" s="24" t="s">
        <v>29</v>
      </c>
      <c r="C6" s="23" t="s">
        <v>88</v>
      </c>
      <c r="D6" s="20" t="str">
        <f>'[8]Results-low'!F12 &amp; CHAR(10) &amp; CHAR(10) &amp; "Type:" &amp; '[8]Results-low'!F13  &amp; CHAR(10) &amp; CHAR(10) &amp; "Grants ID:" &amp; '[8]Results-low'!F14</f>
        <v xml:space="preserve"> Yes, the Charité – Universitätsmedizin Berlin, the Berlin Institute of Health, and the Deutsche Forschungsgemeinschaft provided financial support for the creation of the dataset.
Type: Unknown
Grants ID: Not provided.</v>
      </c>
      <c r="E6" s="20" t="str">
        <f>'[8]Results-low'!G12 &amp; CHAR(10) &amp; CHAR(10) &amp; "Type:" &amp; '[8]Results-low'!G13  &amp; CHAR(10) &amp; CHAR(10) &amp; "Grants ID:" &amp; '[8]Results-low'!G14</f>
        <v>Charité — Universitätsmedizin Berlin, the Berlin Institute of Health, and the Deutsche Forschungsgemeinschaft
Type:public
Grants ID:not provided</v>
      </c>
      <c r="F6" s="20" t="str">
        <f>'[8]Results-low'!H12 &amp; CHAR(10) &amp; CHAR(10) &amp; "Type:" &amp; '[8]Results-low'!H13  &amp; CHAR(10) &amp; CHAR(10) &amp; "Grants ID:" &amp; '[8]Results-low'!H14</f>
        <v>by the Charité—Universitätsmedizin Berlin, the Berlin Institute of Health, and the Deutsche Forschungsgemeinschaft
Type:mixed
Grants ID:not provided</v>
      </c>
      <c r="G6" s="28" t="s">
        <v>34</v>
      </c>
      <c r="H6" s="28" t="s">
        <v>34</v>
      </c>
      <c r="I6" s="40" t="s">
        <v>96</v>
      </c>
    </row>
    <row r="7" spans="1:9" s="19" customFormat="1" ht="302" customHeight="1" x14ac:dyDescent="0.2">
      <c r="A7" s="152"/>
      <c r="B7" s="24" t="s">
        <v>87</v>
      </c>
      <c r="C7" s="23" t="s">
        <v>86</v>
      </c>
      <c r="D7" s="20" t="str">
        <f>'[8]Results-low'!F14 &amp; CHAR(10) &amp; CHAR(10) &amp; "Contribution guidelines:" &amp; '[8]Results-low'!F15  &amp; CHAR(10) &amp; CHAR(10) &amp; "Erratum:" &amp; '[8]Results-low'!F16 &amp; CHAR(10) &amp; CHAR(10) &amp; "Data Retention:" &amp; '[8]Results-low'!F17</f>
        <v xml:space="preserve"> Not provided.
Contribution guidelines: The maintainers of the dataset are Lisa C. Adams, Marcus R. Makowski, Günther Engel, Maximilian Rattunde, Felix Busch, Patrick Asbach, Stefan M. Niehues, Shankeeth Vinayahalingam, Bram van Ginneken, Geert Litjens, and Keno K. Bressem.
Erratum: No.
Data Retention: No.</v>
      </c>
      <c r="E7" s="20" t="str">
        <f>'[8]Results-low'!G14 &amp; CHAR(10) &amp; CHAR(10) &amp; "Contribution guidelines:" &amp; '[8]Results-low'!G15  &amp; CHAR(10) &amp; CHAR(10) &amp; "Erratum:" &amp; '[8]Results-low'!G16 &amp; CHAR(10) &amp; CHAR(10) &amp; "Data Retention:" &amp; '[8]Results-low'!G17</f>
        <v>not provided
Contribution guidelines:Lisa C. Adams, Marcus R. Makowski, Günther Engel , Maximilian Rattunde, Felix Busch, Patrick Asbach, Stefan M. Niehues , Shankeeth Vinayahalingam, Bram van Ginneken, Geert Litjens, Keno K. Bressem
Erratum:a minimum age over 50 years, an MRI examination with a biparametric imaging protocol meeting PI-RADS v2 technical standards, a subsequent biopsy or surgery, and an available pathology report confirming a diagnosis of prostate cancer
Data Retention:no</v>
      </c>
      <c r="F7" s="20" t="str">
        <f>'[8]Results-low'!H14 &amp; CHAR(10) &amp; CHAR(10) &amp; "Contribution guidelines:" &amp; '[8]Results-low'!H15  &amp; CHAR(10) &amp; CHAR(10) &amp; "Erratum:" &amp; '[8]Results-low'!H16 &amp; CHAR(10) &amp; CHAR(10) &amp; "Data Retention:" &amp; '[8]Results-low'!H17</f>
        <v>not provided
Contribution guidelines:same as authors
Erratum:no
Data Retention:no</v>
      </c>
      <c r="G7" s="32" t="s">
        <v>34</v>
      </c>
      <c r="H7" s="32" t="s">
        <v>34</v>
      </c>
      <c r="I7" s="39" t="s">
        <v>96</v>
      </c>
    </row>
    <row r="8" spans="1:9" s="19" customFormat="1" ht="48" x14ac:dyDescent="0.2">
      <c r="A8" s="153" t="s">
        <v>85</v>
      </c>
      <c r="B8" s="31" t="s">
        <v>31</v>
      </c>
      <c r="C8" s="30" t="s">
        <v>83</v>
      </c>
      <c r="D8" s="20" t="str">
        <f>'[8]Results-low'!F19</f>
        <v xml:space="preserve"> Yes, the link to the repository is https://zenodo.org/record/3750862#.X_V6VVNKjIU</v>
      </c>
      <c r="E8" s="20" t="str">
        <f>'[8]Results-low'!G19</f>
        <v>https://prostate158.grand-challenge.org</v>
      </c>
      <c r="F8" s="20" t="str">
        <f>'[8]Results-low'!H19</f>
        <v>Repository name: https://zenodo.org Data identification number: 10.5281/zenodo.6481141 Access at: zenodo.org/record/6481141</v>
      </c>
      <c r="G8" s="28" t="s">
        <v>34</v>
      </c>
      <c r="H8" s="28" t="s">
        <v>42</v>
      </c>
      <c r="I8" s="39" t="s">
        <v>96</v>
      </c>
    </row>
    <row r="9" spans="1:9" s="19" customFormat="1" ht="395" x14ac:dyDescent="0.2">
      <c r="A9" s="150"/>
      <c r="B9" s="38" t="s">
        <v>82</v>
      </c>
      <c r="C9" s="30" t="s">
        <v>81</v>
      </c>
      <c r="D9" s="20" t="str">
        <f>"License: "&amp; '[8]Results-low'!F19 &amp; CHAR(10) &amp; CHAR(10)
&amp; "Thid-parties in-charge: "&amp; '[8]Results-low'!F24 &amp; CHAR(10) &amp; CHAR(10)
&amp; "Attribution notice: "&amp; '[8]Results-low'!F23 &amp; CHAR(10) &amp; CHAR(10)
&amp; "Data Stand-alone:" &amp; '[8]Results-low'!F21  &amp; CHAR(10) &amp; CHAR(10) &amp; "Model trained with the data:" &amp; '[8]Results-low'!F22</f>
        <v>License:  Yes, the link to the repository is https://zenodo.org/record/3750862#.X_V6VVNKjIU
Thid-parties in-charge:  No, the dataset is available under the CC BY license (http://creativecommons.org/licenses/by/4.0/), which does not require third parties to be in charge of the license or distribution.
Attribution notice:  Yes, the authors of the dataset require that the following attribution notice be used when using the dataset: "Dataset of prostate MRI annotated for anatomical zones and cancer, Lisa C. Adams, Marcus R. Makowski, Günther Engel, Maximilian Rattunde, Felix Busch, Patrick Asbach, Stefan M. Niehues, Shankeeth Vinayahalingam, Bram van Ginneken, Geert Litjens, Keno K. Bressem."
Data Stand-alone: The rights of the stand-alone dataset are that it is open access under the CC BY license and can be used to develop new algorithms for prostate cancer detection. Researchers can use it to develop new algorithms or as a test set for trained algorithms to check their performance and generalizability. Part of the dataset remains as a hidden test dataset to be able to check the performance of the trained algorithms.
Model trained with the data: The models trained with this data have the right to be used for prostate cancer detection and to be compared with other trained algorithms on https://prostate158.grand-challenge.org.</v>
      </c>
      <c r="E9" s="20" t="str">
        <f>"License: "&amp; '[8]Results-low'!G19 &amp; CHAR(10) &amp; CHAR(10)
&amp; "Thid-parties in-charge: "&amp; '[8]Results-low'!G24 &amp; CHAR(10) &amp; CHAR(10)
&amp; "Attribution notice: "&amp; '[8]Results-low'!G23 &amp; CHAR(10) &amp; CHAR(10)
&amp; "Data Stand-alone:" &amp; '[8]Results-low'!G21  &amp; CHAR(10) &amp; CHAR(10) &amp; "Model trained with the data:" &amp; '[8]Results-low'!G22</f>
        <v>License: https://prostate158.grand-challenge.org
Thid-parties in-charge: no
Attribution notice: CC BY license
Data Stand-alone:CC BY license
Model trained with the data:CC BY license</v>
      </c>
      <c r="F9" s="20" t="str">
        <f>"License: "&amp; '[8]Results-low'!H19 &amp; CHAR(10) &amp; CHAR(10)
&amp; "Thid-parties in-charge: "&amp; '[8]Results-low'!H24 &amp; CHAR(10) &amp; CHAR(10)
&amp; "Attribution notice: "&amp; '[8]Results-low'!H23 &amp; CHAR(10) &amp; CHAR(10)
&amp; "Data Stand-alone:" &amp; '[8]Results-low'!H21  &amp; CHAR(10) &amp; CHAR(10) &amp; "Model trained with the data:" &amp; '[8]Results-low'!H22</f>
        <v>License: Repository name: https://zenodo.org Data identification number: 10.5281/zenodo.6481141 Access at: zenodo.org/record/6481141
Thid-parties in-charge: not provided
Attribution notice: not provided
Data Stand-alone:not provided
Model trained with the data:not provided</v>
      </c>
      <c r="G9" s="32" t="s">
        <v>42</v>
      </c>
      <c r="H9" s="32" t="s">
        <v>42</v>
      </c>
      <c r="I9" s="37" t="s">
        <v>96</v>
      </c>
    </row>
    <row r="10" spans="1:9" s="19" customFormat="1" ht="32" x14ac:dyDescent="0.2">
      <c r="A10" s="150"/>
      <c r="B10" s="31" t="s">
        <v>33</v>
      </c>
      <c r="C10" s="30" t="s">
        <v>80</v>
      </c>
      <c r="D10" s="29" t="str">
        <f>'[8]Results-low'!F25</f>
        <v xml:space="preserve"> No, there is no deprecation plan or policy of the dataset.</v>
      </c>
      <c r="E10" s="29" t="str">
        <f>'[8]Results-low'!G25</f>
        <v>No</v>
      </c>
      <c r="F10" s="29" t="str">
        <f>'[8]Results-low'!H25</f>
        <v>no</v>
      </c>
      <c r="G10" s="28" t="s">
        <v>34</v>
      </c>
      <c r="H10" s="28" t="s">
        <v>34</v>
      </c>
      <c r="I10" s="37" t="s">
        <v>96</v>
      </c>
    </row>
    <row r="11" spans="1:9" s="19" customFormat="1" ht="240" x14ac:dyDescent="0.2">
      <c r="A11" s="152" t="s">
        <v>77</v>
      </c>
      <c r="B11" s="24" t="s">
        <v>76</v>
      </c>
      <c r="C11" s="23" t="s">
        <v>75</v>
      </c>
      <c r="D11" s="20" t="str">
        <f>"Files:" &amp;'[8]Results-low'!F27 &amp; CHAR(10) &amp; CHAR(10) &amp; "Attributes:" &amp; '[8]Results-low'!F28</f>
        <v>Files: The dataset consists of 158 3.0 Tesla MRIs from patients with suspected prostate cancer annotated by two board-certified radiologists. The files include 020 adc.nii.gz, adc_tumor_reader1.nii.gz, adc_tumor_reader2.nii.gz, dwi.nii.gz, t2.nii.gz, t2_anatomy_reader1.nii.gz, t2_tumor_reader1.nii.gz, train.csv, and valid.csv.
Attributes: No, this paper does not provide a description of each file the dataset is composed of. It provides a general overview of the dataset, including the inclusion criteria for patients, the MRI scanners used, and the types of sequences included. It also provides information about the expert annotations and the open source code available.</v>
      </c>
      <c r="E11" s="20" t="str">
        <f>"Files:" &amp;'[8]Results-low'!G27 &amp; CHAR(10) &amp; CHAR(10) &amp; "Attributes:" &amp; '[8]Results-low'!G28</f>
        <v>Files:adc.nii.gz adc_tumor_reader1.nii.gz adc_tumor_reader2.nii.gz dwi.nii.gz t2.nii.gz t2_anatomy_reader1.nii.gz t2_tumor_reader1.nii.gz train.csv valid.csv
Attributes:adc.nii.gz # ADC sequence in NIfTI format adc_tumor_reader1.nii.gz # Tumor segmentation of reader 1 adc_tumor_reader2.nii.gz # Tumor segmentation of reader 2 dwi.nii.gz # DWI sequence in NIfTI format t2.nii.gz # T2W sequence in NIfTI format t2_anatomy_reader1.nii.g</v>
      </c>
      <c r="F11" s="20" t="str">
        <f>"Files:" &amp;'[8]Results-low'!H27 &amp; CHAR(10) &amp; CHAR(10) &amp; "Attributes:" &amp; '[8]Results-low'!H28</f>
        <v>Files:→ adc.nii.gz # ADC sequence in NIfTI format → adc_tumor_reader1.nii.gz # Tumor segmentation of reader 1 → adc_tumor_reader2.nii.gz # Tumor segmentation of reader 2 → dwi.nii.gz # DWI sequence in NIfTI format → t2.nii.gz # T2W sequence in NIfTI format → t2_anatomy_reader1.nii.gz # Anatomy segmentation of reader 1 → t2_tumor_reader1.nii.gz # Tumor segmentation of reader 1
Attributes:→ adc.nii.gz # ADC sequence in NIfTI format → adc_tumor_reader1.nii.gz # Tumor segmentation of reader 1 → adc_tumor_reader2.nii.gz # Tumor segmentation of reader 2 → dwi.nii.gz # DWI sequence in NIfTI format → t2.nii.gz # T2W sequence in NIfTI format → t2_anatomy_reader1.nii.gz # Anatomy segmentation of reader 1 → t2_tumor_reader1.nii.gz # Tumor segmentation of reader 1</v>
      </c>
      <c r="G11" s="32" t="s">
        <v>34</v>
      </c>
      <c r="H11" s="32" t="s">
        <v>34</v>
      </c>
      <c r="I11" s="37" t="s">
        <v>96</v>
      </c>
    </row>
    <row r="12" spans="1:9" s="19" customFormat="1" ht="32" x14ac:dyDescent="0.2">
      <c r="A12" s="152"/>
      <c r="B12" s="24" t="s">
        <v>74</v>
      </c>
      <c r="C12" s="23" t="s">
        <v>73</v>
      </c>
      <c r="D12" s="20" t="str">
        <f>'[8]Results-low'!F32</f>
        <v xml:space="preserve"> No, the paper does not mention any recommended data split of the dataset.</v>
      </c>
      <c r="E12" s="20" t="str">
        <f>'[8]Results-low'!G32</f>
        <v>No</v>
      </c>
      <c r="F12" s="20" t="str">
        <f>'[8]Results-low'!H32</f>
        <v>no</v>
      </c>
      <c r="G12" s="32" t="s">
        <v>34</v>
      </c>
      <c r="H12" s="32" t="s">
        <v>34</v>
      </c>
      <c r="I12" s="37" t="s">
        <v>96</v>
      </c>
    </row>
    <row r="13" spans="1:9" s="19" customFormat="1" ht="64" x14ac:dyDescent="0.2">
      <c r="A13" s="152"/>
      <c r="B13" s="27" t="s">
        <v>72</v>
      </c>
      <c r="C13" s="23" t="s">
        <v>71</v>
      </c>
      <c r="D13" s="20" t="str">
        <f>'[8]Results-low'!F31 &amp;  CHAR(10) &amp; CHAR(10) &amp; '[8]Results-low'!F30</f>
        <v xml:space="preserve"> No, the data does not have any explicit consistency rule.
 No, there are no relevant statistics or distributions of the dataset provided in the context.</v>
      </c>
      <c r="E13" s="20" t="str">
        <f>'[8]Results-low'!G31 &amp;  CHAR(10) &amp; CHAR(10) &amp; '[8]Results-low'!G30</f>
        <v>No
The dataset contains 3.0 Tesla MRI images of the prostate of patients with suspected prostate cancer.</v>
      </c>
      <c r="F13" s="20" t="str">
        <f>'[8]Results-low'!H31 &amp;  CHAR(10) &amp; CHAR(10) &amp; '[8]Results-low'!H30</f>
        <v>no
no</v>
      </c>
      <c r="G13" s="28" t="s">
        <v>34</v>
      </c>
      <c r="H13" s="28" t="s">
        <v>34</v>
      </c>
      <c r="I13" s="37"/>
    </row>
    <row r="14" spans="1:9" s="19" customFormat="1" ht="191" customHeight="1" x14ac:dyDescent="0.2">
      <c r="A14" s="153" t="s">
        <v>70</v>
      </c>
      <c r="B14" s="31" t="s">
        <v>44</v>
      </c>
      <c r="C14" s="30" t="s">
        <v>69</v>
      </c>
      <c r="D14" s="20" t="str">
        <f>'[8]Results-low'!F34</f>
        <v xml:space="preserve"> The dataset consists of 158 3.0 Tesla MRIs from patients with suspected prostate cancer. Inclusion criteria for patients were a minimum age over 50 years, an MRI examination with a biparametric imaging protocol meeting PI-RADS v2 technical standards, a subsequent biopsy or surgery, and an available pathology report conﬁrming a diagnosis of prostate cancer. All examinations were performed at a German university hospital (Charité University Hospital Berlin) between 02/2016 and 01/2020.</v>
      </c>
      <c r="E14" s="20" t="str">
        <f>'[8]Results-low'!G34</f>
        <v>The data set consists of 158 MRI examinations, all performed on Siemens VIDA and Skyra (Siemens Healthineers, Erlangen, Germany) clinical 3.0-T scanners according to an acquisition protocol that meets current guidelines and using B1 shimming.</v>
      </c>
      <c r="F14" s="20" t="str">
        <f>'[8]Results-low'!H34</f>
        <v>The data set consists of 158 MRI examinations, all performed on Siemens VIDA and Skyra (Siemens Healthineers, Erlangen, Germany) clinical 3.0-T scanners according to an acquisition protocol that meets current guidelines and using B1 shimming.</v>
      </c>
      <c r="G14" s="28" t="s">
        <v>34</v>
      </c>
      <c r="H14" s="28" t="s">
        <v>34</v>
      </c>
      <c r="I14" s="87" t="s">
        <v>96</v>
      </c>
    </row>
    <row r="15" spans="1:9" s="19" customFormat="1" ht="124" customHeight="1" x14ac:dyDescent="0.2">
      <c r="A15" s="150"/>
      <c r="B15" s="31" t="s">
        <v>56</v>
      </c>
      <c r="C15" s="30" t="s">
        <v>68</v>
      </c>
      <c r="D15" s="20" t="str">
        <f>'[8]Results-low'!F35</f>
        <v xml:space="preserve"> Physical data collection</v>
      </c>
      <c r="E15" s="20" t="str">
        <f>'[8]Results-low'!G35</f>
        <v>Manual Human Curator</v>
      </c>
      <c r="F15" s="20" t="str">
        <f>'[8]Results-low'!H35</f>
        <v>Physical data collection</v>
      </c>
      <c r="G15" s="28" t="s">
        <v>34</v>
      </c>
      <c r="H15" s="28" t="s">
        <v>34</v>
      </c>
      <c r="I15" s="35" t="s">
        <v>96</v>
      </c>
    </row>
    <row r="16" spans="1:9" s="19" customFormat="1" ht="128" x14ac:dyDescent="0.2">
      <c r="A16" s="150"/>
      <c r="B16" s="31" t="s">
        <v>67</v>
      </c>
      <c r="C16" s="30" t="s">
        <v>66</v>
      </c>
      <c r="D16" s="20" t="str">
        <f>'[8]Results-low'!F45 &amp; CHAR(10) &amp; CHAR(10) &amp; "Type: "&amp;  '[8]Results-low'!F46 &amp; CHAR(10) &amp; CHAR(10) &amp; "Demographics: " &amp;  '[8]Results-low'!F47</f>
        <v xml:space="preserve"> Lisa C. Adams, Marcus R. Makowski, Günther Engel, Maximilian Rattunde, Felix Busch, Patrick Asbach, Stefan M. Niehues, Shankeeth Vinayahalingam, Bram van Ginneken, Geert Litjens, and Keno K. Bressem.
Type:  An internal team.
Demographics:  No, there is no demographic information of an internal team provided in the context.</v>
      </c>
      <c r="E16" s="20" t="str">
        <f>'[8]Results-low'!G45 &amp; CHAR(10) &amp; CHAR(10) &amp; "Type: "&amp;  '[8]Results-low'!G46 &amp; CHAR(10) &amp; CHAR(10) &amp; "Demographics: " &amp;  '[8]Results-low'!G47</f>
        <v>CRediT
Type: an internal team
Demographics: No</v>
      </c>
      <c r="F16" s="20" t="str">
        <f>'[8]Results-low'!H45 &amp; CHAR(10) &amp; CHAR(10) &amp; "Type: "&amp;  '[8]Results-low'!H46 &amp; CHAR(10) &amp; CHAR(10) &amp; "Demographics: " &amp;  '[8]Results-low'!H47</f>
        <v>Authors
Type: Internal team
Demographics: No</v>
      </c>
      <c r="G16" s="32" t="s">
        <v>34</v>
      </c>
      <c r="H16" s="32" t="s">
        <v>34</v>
      </c>
      <c r="I16" s="35" t="s">
        <v>96</v>
      </c>
    </row>
    <row r="17" spans="1:9" s="19" customFormat="1" ht="80" x14ac:dyDescent="0.2">
      <c r="A17" s="150"/>
      <c r="B17" s="31" t="s">
        <v>65</v>
      </c>
      <c r="C17" s="30" t="s">
        <v>64</v>
      </c>
      <c r="D17" s="29" t="str">
        <f>'[8]Results-low'!F40</f>
        <v xml:space="preserve"> No</v>
      </c>
      <c r="E17" s="29" t="str">
        <f>'[8]Results-low'!G40</f>
        <v>No</v>
      </c>
      <c r="F17" s="29">
        <f>'[8]Results-low'!H40</f>
        <v>0</v>
      </c>
      <c r="G17" s="28" t="s">
        <v>34</v>
      </c>
      <c r="H17" s="28" t="s">
        <v>34</v>
      </c>
      <c r="I17" s="35" t="s">
        <v>96</v>
      </c>
    </row>
    <row r="18" spans="1:9" s="19" customFormat="1" ht="144" x14ac:dyDescent="0.2">
      <c r="A18" s="150"/>
      <c r="B18" s="31" t="s">
        <v>62</v>
      </c>
      <c r="C18" s="30" t="s">
        <v>61</v>
      </c>
      <c r="D18" s="20" t="str">
        <f>'[8]Results-low'!F41 &amp; CHAR(10) &amp; CHAR(10) &amp;  '[8]Results-low'!F42 &amp; CHAR(10) &amp; CHAR(10) &amp; "Noise: " &amp;  '[8]Results-low'!F43 &amp; CHAR(10) &amp; CHAR(10) &amp; "Link: " &amp; '[8]Results-low'!F44</f>
        <v xml:space="preserve"> The data has been collected from 158 MRI examinations from patients with suspected prostate cancer at Charité University Hospital Berlin between 02/2016 and 01/2020.
 Charité University Hospital Berlin
Noise:  No, Charité University Hospital Berlin is a reliable data source.
Link:  No, I don't know of any link to access the data source.</v>
      </c>
      <c r="E18" s="20" t="str">
        <f>'[8]Results-low'!G41 &amp; CHAR(10) &amp; CHAR(10) &amp;  '[8]Results-low'!G42 &amp; CHAR(10) &amp; CHAR(10) &amp; "Noise: " &amp;  '[8]Results-low'!G43 &amp; CHAR(10) &amp; CHAR(10) &amp; "Link: " &amp; '[8]Results-low'!G44</f>
        <v>not provided
MRI examinations
Noise: I don't know
Link: not provided</v>
      </c>
      <c r="F18" s="20" t="str">
        <f>'[8]Results-low'!H41 &amp; CHAR(10) &amp; CHAR(10) &amp;  '[8]Results-low'!H42 &amp; CHAR(10) &amp; CHAR(10) &amp; "Noise: " &amp;  '[8]Results-low'!H43 &amp; CHAR(10) &amp; CHAR(10) &amp; "Link: " &amp; '[8]Results-low'!H44</f>
        <v xml:space="preserve">
Siemens VIDA and Skyra (Siemens Healthineers, Erlangen, Germany) clinical 3.0-T scanners
Noise: 
Link: </v>
      </c>
      <c r="G18" s="32" t="s">
        <v>42</v>
      </c>
      <c r="H18" s="32" t="s">
        <v>42</v>
      </c>
      <c r="I18" s="35"/>
    </row>
    <row r="19" spans="1:9" s="19" customFormat="1" ht="48" x14ac:dyDescent="0.2">
      <c r="A19" s="150"/>
      <c r="B19" s="31" t="s">
        <v>60</v>
      </c>
      <c r="C19" s="30" t="s">
        <v>59</v>
      </c>
      <c r="D19" s="20" t="str">
        <f>'[8]Results-low'!F36 &amp; CHAR(10) &amp; CHAR(10) &amp; '[8]Results-low'!F38</f>
        <v xml:space="preserve"> 02/2016 and 01/2020
 Charité University Hospital Berlin, Germany</v>
      </c>
      <c r="E19" s="20" t="str">
        <f>'[8]Results-low'!G36 &amp; CHAR(10) &amp; CHAR(10) &amp; '[8]Results-low'!G38</f>
        <v>02/2016 and 01/2020
Charité University Hospital Berlin</v>
      </c>
      <c r="F19" s="20" t="str">
        <f>'[8]Results-low'!H36 &amp; CHAR(10) &amp; CHAR(10) &amp; '[8]Results-low'!H38</f>
        <v>between 02/2016 and 01/2020.
German university hospital (CharitéUniversity Hospital Berlin)</v>
      </c>
      <c r="G19" s="28" t="s">
        <v>34</v>
      </c>
      <c r="H19" s="28" t="s">
        <v>34</v>
      </c>
      <c r="I19" s="35"/>
    </row>
    <row r="20" spans="1:9" s="19" customFormat="1" ht="173" customHeight="1" x14ac:dyDescent="0.2">
      <c r="A20" s="151" t="s">
        <v>58</v>
      </c>
      <c r="B20" s="24" t="s">
        <v>44</v>
      </c>
      <c r="C20" s="23" t="s">
        <v>57</v>
      </c>
      <c r="D20" s="20" t="str">
        <f>'[8]Results-low'!F49</f>
        <v xml:space="preserve"> The data of the dataset has been annotated by two board-certified radiologists with 6 and 8 years of experience. For T2W sequences, the central gland (central zone and transitional zone) and peripheral zone were segmented. If areas of suspected prostate cancer (PIRADS score of ≥ 4) were identified on examination, they were segmented in both the T2W sequences and ADC maps. The annotations were extensively reviewed to ensure high quality segmentations.</v>
      </c>
      <c r="E20" s="20" t="str">
        <f>'[8]Results-low'!G49</f>
        <v>The dataset consists of 158 3.0 Tesla MRIs from patients with suspected prostate cancer annotated by two board-certified radiologists.</v>
      </c>
      <c r="F20" s="20">
        <f>'[8]Results-low'!H49</f>
        <v>0</v>
      </c>
      <c r="G20" s="32"/>
      <c r="H20" s="32"/>
      <c r="I20" s="35"/>
    </row>
    <row r="21" spans="1:9" s="19" customFormat="1" ht="57" customHeight="1" x14ac:dyDescent="0.2">
      <c r="A21" s="152"/>
      <c r="B21" s="24" t="s">
        <v>56</v>
      </c>
      <c r="C21" s="23" t="s">
        <v>55</v>
      </c>
      <c r="D21" s="20" t="str">
        <f>'[8]Results-low'!F50</f>
        <v xml:space="preserve"> Semantic Segmentation</v>
      </c>
      <c r="E21" s="20" t="str">
        <f>'[8]Results-low'!G50</f>
        <v>Landmark and key-point</v>
      </c>
      <c r="F21" s="20">
        <f>'[8]Results-low'!H50</f>
        <v>0</v>
      </c>
      <c r="G21" s="28" t="s">
        <v>34</v>
      </c>
      <c r="H21" s="28" t="s">
        <v>34</v>
      </c>
      <c r="I21" s="26" t="s">
        <v>96</v>
      </c>
    </row>
    <row r="22" spans="1:9" s="19" customFormat="1" ht="44" customHeight="1" x14ac:dyDescent="0.2">
      <c r="A22" s="152"/>
      <c r="B22" s="24" t="s">
        <v>54</v>
      </c>
      <c r="C22" s="23" t="s">
        <v>53</v>
      </c>
      <c r="D22" s="20" t="str">
        <f>'[8]Results-low'!F51</f>
        <v xml:space="preserve">
The dataset is annotated for anatomical zones and cancer. The anatomical zones include the central gland (central zone and transitional zone) and peripheral zone. The cancer labels include areas of suspected prostate cancer (PIRADS score of ≥ 4).</v>
      </c>
      <c r="E22" s="20" t="str">
        <f>'[8]Results-low'!G51</f>
        <v>T2W sequences and ADC maps were annotated by two board-certified radiologists with 6 and 8 years of experience, respectively. For T2W sequences, the central gland (central zone and transitional zone) and peripheral zone were segmented. If areas of suspected prostate cancer (PIRADS score of  4) were identified on examination, they were segmented in both the T2W sequences and ADC maps. Because restricted diffusion is best seen in DWI images with high b-values, only these images were selected and all images with low b-value</v>
      </c>
      <c r="F22" s="20" t="str">
        <f>'[8]Results-low'!H51</f>
        <v>T2W sequences and ADC maps were annotated by two board-certified radiologists with 6 and 8 years of experience, respectively. For T2W sequences, the central gland (central zone and transitional zone) and peripheral zone were seg- mented. If areas of suspected prostate cancer (PIRADS score of ≥4) were identified on examination, they were segmented in both the T2W sequences and ADC maps.</v>
      </c>
      <c r="G22" s="25"/>
      <c r="H22" s="25"/>
      <c r="I22" s="26" t="s">
        <v>96</v>
      </c>
    </row>
    <row r="23" spans="1:9" s="19" customFormat="1" ht="166" customHeight="1" x14ac:dyDescent="0.2">
      <c r="A23" s="152"/>
      <c r="B23" s="24" t="s">
        <v>52</v>
      </c>
      <c r="C23" s="23" t="s">
        <v>51</v>
      </c>
      <c r="D23" s="20" t="str">
        <f>'[8]Results-low'!F52 &amp; CHAR(10) &amp; CHAR(10) &amp; "Type:" &amp;'[8]Results-low'!F53 &amp; CHAR(10) &amp; CHAR(10) &amp; "Demographics:" &amp;'[8]Results-low'!F54</f>
        <v xml:space="preserve"> The data was annotated by two board-certified radiologists with 6 and 8 years of experience, respectively.
Type: An internal team.
Demographics: No, there is no demographic information about the team who annotate the data.</v>
      </c>
      <c r="E23" s="20" t="str">
        <f>'[8]Results-low'!G52 &amp; CHAR(10) &amp; CHAR(10) &amp; "Type:" &amp;'[8]Results-low'!G53 &amp; CHAR(10) &amp; CHAR(10) &amp; "Demographics:" &amp;'[8]Results-low'!G54</f>
        <v>two board-certified radiologists
Type:two board-certified radiologists
Demographics:No</v>
      </c>
      <c r="F23" s="20" t="str">
        <f>'[8]Results-low'!H52 &amp; CHAR(10) &amp; CHAR(10) &amp; "Type:" &amp;'[8]Results-low'!H53 &amp; CHAR(10) &amp; CHAR(10) &amp; "Demographics:" &amp;'[8]Results-low'!H54</f>
        <v>Two experts radiologist
Type:
Demographics:No</v>
      </c>
      <c r="G23" s="28" t="s">
        <v>34</v>
      </c>
      <c r="H23" s="28" t="s">
        <v>34</v>
      </c>
      <c r="I23" s="26"/>
    </row>
    <row r="24" spans="1:9" s="19" customFormat="1" ht="123" customHeight="1" x14ac:dyDescent="0.2">
      <c r="A24" s="152"/>
      <c r="B24" s="24" t="s">
        <v>49</v>
      </c>
      <c r="C24" s="23" t="s">
        <v>48</v>
      </c>
      <c r="D24" s="20" t="str">
        <f>'[8]Results-low'!F55</f>
        <v xml:space="preserve"> ITK-Snap (version 3.8.0; www.itksnap.org)</v>
      </c>
      <c r="E24" s="20" t="str">
        <f>'[8]Results-low'!G55</f>
        <v>ITK-Snap</v>
      </c>
      <c r="F24" s="20" t="str">
        <f>'[8]Results-low'!H55</f>
        <v>ITK-Snap</v>
      </c>
      <c r="G24" s="32" t="s">
        <v>34</v>
      </c>
      <c r="H24" s="32" t="s">
        <v>34</v>
      </c>
      <c r="I24" s="33" t="s">
        <v>96</v>
      </c>
    </row>
    <row r="25" spans="1:9" s="19" customFormat="1" ht="60" customHeight="1" x14ac:dyDescent="0.2">
      <c r="A25" s="152"/>
      <c r="B25" s="24" t="s">
        <v>46</v>
      </c>
      <c r="C25" s="23" t="s">
        <v>45</v>
      </c>
      <c r="D25" s="20" t="str">
        <f>'[8]Results-low'!F56</f>
        <v xml:space="preserve"> Non-parametric, non-uniform intensity normalization was performed for T2w images to remove distortion fields using the N4ITK algorithm (13). For DWI, only images with the highest b-value (1000) were extracted and the remaining images were discarded. Part of the dataset remains as a hidden test dataset to be able to check the performance of the trained algorithms on https://prostate158.grand-challenge.org. Researchers can compare trained algorithms under realistic conditions. As the test set remains hidden, overfitting on test data is not possible.</v>
      </c>
      <c r="E25" s="20" t="str">
        <f>'[8]Results-low'!G56</f>
        <v>a hidden test dataset to be able to check the performance of the trained algorithms on https://prostate158.grand-challenge.org</v>
      </c>
      <c r="F25" s="20" t="str">
        <f>'[8]Results-low'!H56</f>
        <v>not provided</v>
      </c>
      <c r="G25" s="28" t="s">
        <v>42</v>
      </c>
      <c r="H25" s="28" t="s">
        <v>42</v>
      </c>
      <c r="I25" s="26"/>
    </row>
    <row r="26" spans="1:9" s="19" customFormat="1" ht="80" x14ac:dyDescent="0.2">
      <c r="A26" s="148" t="s">
        <v>41</v>
      </c>
      <c r="B26" s="24" t="s">
        <v>40</v>
      </c>
      <c r="C26" s="23" t="s">
        <v>39</v>
      </c>
      <c r="D26" s="20" t="str">
        <f>'[8]Results-low'!F73</f>
        <v xml:space="preserve"> No, the authors declare that they have no known competing financial interests or personal relationships that could have appeared to influence the work reported in this paper. Additionally, the data was acquired from a German university hospital and all contributions to the study were approved by the Institutional Review Board.</v>
      </c>
      <c r="E26" s="20" t="str">
        <f>'[8]Results-low'!G73</f>
        <v>The dataset contains 3.0 Tesla MRI images of the prostate of patients with suspected prostate cancer.</v>
      </c>
      <c r="F26" s="20" t="str">
        <f>'[8]Results-low'!H73</f>
        <v>No</v>
      </c>
      <c r="G26" s="28" t="s">
        <v>34</v>
      </c>
      <c r="H26" s="28" t="s">
        <v>34</v>
      </c>
      <c r="I26" s="26" t="s">
        <v>96</v>
      </c>
    </row>
    <row r="27" spans="1:9" s="19" customFormat="1" ht="240" x14ac:dyDescent="0.2">
      <c r="A27" s="148"/>
      <c r="B27" s="27" t="s">
        <v>38</v>
      </c>
      <c r="C27" s="23" t="s">
        <v>37</v>
      </c>
      <c r="D27" s="20" t="str">
        <f>'[8]Results-low'!F74 &amp; CHAR(10) &amp; '[8]Results-low'!F75 &amp; CHAR(10) &amp; CHAR(10)  &amp; "Sensitivity: " &amp; '[8]Results-low'!F76</f>
        <v xml:space="preserve"> No, the dataset does not appear to misrepresent any social group.
 No, the dataset is balanced with 158 3.0 Tesla MRIs from patients with suspected prostate cancer annotated by two board-certified radiologists. All examinations were performed at a German university hospital (Charité Universitätsmedizin Berlin) between 02/2016 and 01/2020. All MRI were acquired with two 3.0 Tesla MRI scanners (Siemens VIDA and Skyra, Siemens Healthineers, Erlangen, Germany). Axial T2W sequences and axial diffusion-weighted sequences (DWI) with apparent diffusion coeﬃcient maps (ADC) were included in the data set. T2W sequences and ADC maps were annotated by two board-certiﬁed radiologists with 6 and 8 years of experience, respectively. For T2W sequences, the central gland (central zone and transitional zone) and peripheral zone were segmented.
Sensitivity:  No, there are no sensitive data or data that can be offensive for people in the dataset.</v>
      </c>
      <c r="E27" s="20" t="str">
        <f>'[8]Results-low'!G74 &amp; CHAR(10) &amp; '[8]Results-low'!G75 &amp; CHAR(10) &amp; CHAR(10)  &amp; "Sensitivity: " &amp; '[8]Results-low'!G76</f>
        <v>No
No
Sensitivity: No</v>
      </c>
      <c r="F27" s="20" t="str">
        <f>'[8]Results-low'!H74 &amp; CHAR(10) &amp; '[8]Results-low'!H75 &amp; CHAR(10) &amp; CHAR(10)  &amp; "Sensitivity: " &amp; '[8]Results-low'!H76</f>
        <v>No
No
Sensitivity: No</v>
      </c>
      <c r="G27" s="25" t="s">
        <v>34</v>
      </c>
      <c r="H27" s="25" t="s">
        <v>34</v>
      </c>
      <c r="I27" s="26"/>
    </row>
    <row r="28" spans="1:9" s="19" customFormat="1" ht="32" x14ac:dyDescent="0.2">
      <c r="A28" s="148"/>
      <c r="B28" s="24" t="s">
        <v>36</v>
      </c>
      <c r="C28" s="23" t="s">
        <v>35</v>
      </c>
      <c r="D28" s="20" t="str">
        <f>'[8]Results-low'!F77</f>
        <v xml:space="preserve"> No, the data is anonymized and all patient information is removed.</v>
      </c>
      <c r="E28" s="20" t="str">
        <f>'[8]Results-low'!G77</f>
        <v>Data were then anonymized and converted to NIfTI (Neuroimaging Informatics Technology Initiative) format</v>
      </c>
      <c r="F28" s="20" t="str">
        <f>'[8]Results-low'!H77</f>
        <v>Data is anonymized</v>
      </c>
      <c r="G28" s="21" t="s">
        <v>34</v>
      </c>
      <c r="H28" s="21" t="s">
        <v>34</v>
      </c>
      <c r="I28" s="22" t="s">
        <v>96</v>
      </c>
    </row>
    <row r="29" spans="1:9" ht="14" customHeight="1" x14ac:dyDescent="0.2">
      <c r="I29" s="22" t="s">
        <v>96</v>
      </c>
    </row>
  </sheetData>
  <mergeCells count="7">
    <mergeCell ref="A26:A28"/>
    <mergeCell ref="A2:A4"/>
    <mergeCell ref="A5:A7"/>
    <mergeCell ref="A8:A10"/>
    <mergeCell ref="A11:A13"/>
    <mergeCell ref="A14:A19"/>
    <mergeCell ref="A20:A25"/>
  </mergeCells>
  <conditionalFormatting sqref="G73:H84 G2:H28">
    <cfRule type="containsText" dxfId="31" priority="5" operator="containsText" text="Fair">
      <formula>NOT(ISERROR(SEARCH("Fair",G2)))</formula>
    </cfRule>
    <cfRule type="containsText" dxfId="30" priority="6" operator="containsText" text="Bad">
      <formula>NOT(ISERROR(SEARCH("Bad",G2)))</formula>
    </cfRule>
    <cfRule type="containsText" dxfId="29" priority="7" stopIfTrue="1" operator="containsText" text="Good">
      <formula>NOT(ISERROR(SEARCH("Good",G2)))</formula>
    </cfRule>
    <cfRule type="containsText" dxfId="28" priority="8" operator="containsText" text="Hallucinate">
      <formula>NOT(ISERROR(SEARCH("Hallucinate",G2)))</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FA675-586B-974C-A96B-502A80D150DF}">
  <dimension ref="A1:I32"/>
  <sheetViews>
    <sheetView topLeftCell="E20" zoomScale="130" zoomScaleNormal="130" workbookViewId="0">
      <selection activeCell="F2" sqref="F2"/>
    </sheetView>
  </sheetViews>
  <sheetFormatPr baseColWidth="10" defaultRowHeight="15" x14ac:dyDescent="0.2"/>
  <cols>
    <col min="1" max="1" width="27.33203125" style="19" customWidth="1"/>
    <col min="2" max="2" width="37.5" style="18" customWidth="1"/>
    <col min="3" max="3" width="34" style="18" customWidth="1"/>
    <col min="4" max="5" width="57.1640625" style="19" customWidth="1"/>
    <col min="6" max="6" width="53" style="17" customWidth="1"/>
    <col min="7" max="8" width="33.6640625" style="17" customWidth="1"/>
    <col min="9" max="9" width="37.33203125" style="17" customWidth="1"/>
    <col min="10" max="16384" width="10.83203125" style="17"/>
  </cols>
  <sheetData>
    <row r="1" spans="1:9" s="19" customFormat="1" ht="33" customHeight="1" thickBot="1" x14ac:dyDescent="0.25">
      <c r="A1" s="44" t="s">
        <v>9</v>
      </c>
      <c r="B1" s="44" t="s">
        <v>105</v>
      </c>
      <c r="C1" s="44" t="s">
        <v>104</v>
      </c>
      <c r="D1" s="42" t="s">
        <v>116</v>
      </c>
      <c r="E1" s="42" t="s">
        <v>223</v>
      </c>
      <c r="F1" s="186" t="s">
        <v>117</v>
      </c>
      <c r="G1" s="43" t="s">
        <v>101</v>
      </c>
      <c r="H1" s="43" t="s">
        <v>224</v>
      </c>
      <c r="I1" s="43" t="s">
        <v>266</v>
      </c>
    </row>
    <row r="2" spans="1:9" s="19" customFormat="1" ht="260" customHeight="1" thickTop="1" x14ac:dyDescent="0.2">
      <c r="A2" s="149" t="s">
        <v>99</v>
      </c>
      <c r="B2" s="38" t="s">
        <v>98</v>
      </c>
      <c r="C2" s="30" t="s">
        <v>97</v>
      </c>
      <c r="D2" s="20" t="str">
        <f>"Purposes: "&amp; '[9]Results-low'!F2&amp;CHAR(10)&amp;CHAR(10)&amp;"Gaps: "&amp;'[9]Results-low'!F5 &amp;CHAR(10)&amp;CHAR(10)&amp;"Tasks: "&amp;'[9]Results-low'!F3 &amp;CHAR(10)&amp;CHAR(10)&amp;"Tags: "&amp;'[9]Results-low'!F4</f>
        <v>Purposes:  The dataset can be used to test methodology to derive sex ratios and species distribution range maps from camera trap data, and to train and test computer vision-based wildlife censusing algorithms.
Gaps:  The dataset intends to fill the gaps in understanding the health, breeding rate, and population of wildlife species in a conservancy in Nyeri, Kenya. It can also be used to test methodology to derive sex ratios and species distribution range maps from camera trap data.
Tasks:  image-classification, object-detection
Tags:  Environmental Science, Ecology, Images, Camera Traps, Raspberry Pi 2, Raspberry Pi Zero, OpenMV Cam H7, Wildlife Species, Nyeri, Kenya, Object Detection, Image Classification, Sex Ratios, Species Distribution Range Maps, Low-Cost Hardware Platforms.</v>
      </c>
      <c r="E2" s="20" t="str">
        <f>"Purposes: "&amp; '[9]Results-low'!G2&amp;CHAR(10)&amp;CHAR(10)&amp;"Gaps: "&amp;'[9]Results-low'!G5 &amp;CHAR(10)&amp;CHAR(10)&amp;"Tasks: "&amp;'[9]Results-low'!G3 &amp;CHAR(10)&amp;CHAR(10)&amp;"Tags: "&amp;'[9]Results-low'!G4</f>
        <v>Purposes: The dataset contains RGB images of 6 mammalian species found in Central Kenya. It contains sex-specific annotations for 3 species and counts for all species which can be used to train and test computer vision-based wildlife censusing algorithms.
Gaps: The dataset contains RGB images of 6 mammalian species found in Central Kenya. It contains sex-specific annotations for 3 species and counts for all species which can be used to train and test computer vision-based wildlife censusing algorithms.
Tasks: computer-vision
Tags: dsail-porini, dsail-porini, dsail-porini, dsail-porini, dsail-porini, dsail-porini, dsail-porini, dsail-porini, dsail-porini, dsail-porini, dsail-porini, dsail-</v>
      </c>
      <c r="F2" s="187" t="s">
        <v>366</v>
      </c>
      <c r="G2" s="41" t="s">
        <v>34</v>
      </c>
      <c r="H2" s="41" t="s">
        <v>3</v>
      </c>
      <c r="I2" s="40" t="s">
        <v>96</v>
      </c>
    </row>
    <row r="3" spans="1:9" s="19" customFormat="1" ht="160" customHeight="1" x14ac:dyDescent="0.2">
      <c r="A3" s="150"/>
      <c r="B3" s="31" t="s">
        <v>95</v>
      </c>
      <c r="C3" s="30" t="s">
        <v>94</v>
      </c>
      <c r="D3" s="20" t="str">
        <f>'[9]Results-low'!F7&amp;CHAR(10)&amp;CHAR(10)&amp;'[9]Results-low'!F8</f>
        <v xml:space="preserve"> The dataset is recommended for applications in Computer Vision, such as image classification and object detection. It can also be used to test methodology to derive sex ratios and species distribution range maps from camera trap data.
 No.</v>
      </c>
      <c r="E3" s="20" t="str">
        <f>'[9]Results-low'!G7&amp;CHAR(10)&amp;CHAR(10)&amp;'[9]Results-low'!G8</f>
        <v>The dataset is valuable for the field of Computer Vision, especially for the tasks of image classification and object detection.
no</v>
      </c>
      <c r="F3" s="188" t="s">
        <v>367</v>
      </c>
      <c r="G3" s="28" t="s">
        <v>34</v>
      </c>
      <c r="H3" s="28" t="s">
        <v>34</v>
      </c>
      <c r="I3" s="39" t="s">
        <v>96</v>
      </c>
    </row>
    <row r="4" spans="1:9" s="19" customFormat="1" ht="133" customHeight="1" x14ac:dyDescent="0.2">
      <c r="A4" s="150"/>
      <c r="B4" s="31" t="s">
        <v>93</v>
      </c>
      <c r="C4" s="30" t="s">
        <v>92</v>
      </c>
      <c r="D4" s="20" t="str">
        <f>'[9]Results-low'!F9</f>
        <v>No: Unsure</v>
      </c>
      <c r="E4" s="20" t="str">
        <f>'[9]Results-low'!G9</f>
        <v>DSAIL-Porini</v>
      </c>
      <c r="F4" s="188" t="s">
        <v>345</v>
      </c>
      <c r="G4" s="32" t="s">
        <v>3</v>
      </c>
      <c r="H4" s="32" t="s">
        <v>2</v>
      </c>
      <c r="I4" s="40" t="s">
        <v>269</v>
      </c>
    </row>
    <row r="5" spans="1:9" s="19" customFormat="1" ht="161" customHeight="1" x14ac:dyDescent="0.2">
      <c r="A5" s="151" t="s">
        <v>91</v>
      </c>
      <c r="B5" s="24" t="s">
        <v>90</v>
      </c>
      <c r="C5" s="23" t="s">
        <v>89</v>
      </c>
      <c r="D5" s="20" t="str">
        <f>'[9]Results-low'!F11</f>
        <v xml:space="preserve"> Lorna Mugambi, Centre for Data Science and Artiﬁcial Intelligence (DSAIL), Dedan Kimathi University of Technology, Jason N. Kabi, Department of Electrical and Electronic Engineering, Dedan Kimathi University of Technology, Gabriel Kiarie, Centre for Data Science and Artiﬁcial Intelligence (DSAIL), Dedan Kimathi University of Technology, Ciira wa Maina, Centre for Data Science and Artiﬁcial Intelligence (DSAIL), Dedan Kimathi University of Technology</v>
      </c>
      <c r="E5" s="20" t="str">
        <f>'[9]Results-low'!G11</f>
        <v>Lorna Mugambi , Jason N. Kabi , Gabriel Kiarie ,Ciira wa Maina</v>
      </c>
      <c r="F5" s="188" t="s">
        <v>368</v>
      </c>
      <c r="G5" s="32" t="s">
        <v>3</v>
      </c>
      <c r="H5" s="32" t="s">
        <v>3</v>
      </c>
      <c r="I5" s="40" t="s">
        <v>96</v>
      </c>
    </row>
    <row r="6" spans="1:9" s="19" customFormat="1" ht="196" customHeight="1" x14ac:dyDescent="0.2">
      <c r="A6" s="152"/>
      <c r="B6" s="24" t="s">
        <v>29</v>
      </c>
      <c r="C6" s="23" t="s">
        <v>88</v>
      </c>
      <c r="D6" s="20" t="str">
        <f>'[9]Results-low'!F12 &amp; CHAR(10) &amp; CHAR(10) &amp; "Type:" &amp; '[9]Results-low'!F13  &amp; CHAR(10) &amp; CHAR(10) &amp; "Grants ID:" &amp; '[9]Results-low'!F14</f>
        <v xml:space="preserve"> Yes, the work was funded by Data Science Africa through the Centre for Data Science and Artiﬁcial Intelligence (DSAIL) program, Canada’s International Development Research Centre (IDRC), and the Swedish International Development Cooperation Agency (Sida) through the Artiﬁcial Intelligence for Development in Africa (AI4D Africa) program. Google also provided a research award to DSAIL.
Type: Unknown
Grants ID: Not provided.</v>
      </c>
      <c r="E6" s="20" t="str">
        <f>'[9]Results-low'!G12 &amp; CHAR(10) &amp; CHAR(10) &amp; "Type:" &amp; '[9]Results-low'!G13  &amp; CHAR(10) &amp; CHAR(10) &amp; "Grants ID:" &amp; '[9]Results-low'!G14</f>
        <v>Data Science Africa through the Centre for Data Science and Artificial Intelligence (DSAIL) program, Canada’s International Development Research Centre (IDRC), and the Swedish International Development Cooperation Agency (Sida) through the Artificial Intelligence for Development in Africa (AI4D Africa) program.
Type:public
Grants ID:not provided</v>
      </c>
      <c r="F6" s="188" t="s">
        <v>369</v>
      </c>
      <c r="G6" s="28" t="s">
        <v>3</v>
      </c>
      <c r="H6" s="28" t="s">
        <v>3</v>
      </c>
      <c r="I6" s="40" t="s">
        <v>96</v>
      </c>
    </row>
    <row r="7" spans="1:9" s="19" customFormat="1" ht="302" customHeight="1" x14ac:dyDescent="0.2">
      <c r="A7" s="152"/>
      <c r="B7" s="24" t="s">
        <v>87</v>
      </c>
      <c r="C7" s="23" t="s">
        <v>86</v>
      </c>
      <c r="D7" s="20" t="str">
        <f>'[9]Results-low'!F15 &amp; CHAR(10) &amp; CHAR(10) &amp; "Contribution guidelines:" &amp; '[9]Results-low'!F16  &amp; CHAR(10) &amp; CHAR(10) &amp; "Erratum:" &amp; '[9]Results-low'!F17 &amp; CHAR(10) &amp; CHAR(10) &amp; "Data Retention:" &amp; '[9]Results-low'!F18</f>
        <v xml:space="preserve"> The maintainers of the dataset are Lorna Mugambi, Jason N. Kabi, Gabriel Kiarie, and Ciira wa Maina from the Centre for Data Science and Artificial Intelligence (DSAIL) at Dedan Kimathi University of Technology.
Contribution guidelines: No.
Erratum: No.
Data Retention: No.</v>
      </c>
      <c r="E7" s="20" t="str">
        <f>'[9]Results-low'!G15 &amp; CHAR(10) &amp; CHAR(10) &amp; "Contribution guidelines:" &amp; '[9]Results-low'!G16  &amp; CHAR(10) &amp; CHAR(10) &amp; "Erratum:" &amp; '[9]Results-low'!G17 &amp; CHAR(10) &amp; CHAR(10) &amp; "Data Retention:" &amp; '[9]Results-low'!G18</f>
        <v>Lorna Mugambi , Jason N. Kabi , Gabriel Kiarie ,Ciira wa Maina
Contribution guidelines:It does not apply to this dataset
Erratum:no
Data Retention:No</v>
      </c>
      <c r="F7" s="188" t="s">
        <v>370</v>
      </c>
      <c r="G7" s="32" t="s">
        <v>0</v>
      </c>
      <c r="H7" s="32" t="s">
        <v>0</v>
      </c>
      <c r="I7" s="39" t="s">
        <v>96</v>
      </c>
    </row>
    <row r="8" spans="1:9" s="19" customFormat="1" ht="107" customHeight="1" x14ac:dyDescent="0.2">
      <c r="A8" s="153" t="s">
        <v>85</v>
      </c>
      <c r="B8" s="31" t="s">
        <v>31</v>
      </c>
      <c r="C8" s="30" t="s">
        <v>83</v>
      </c>
      <c r="D8" s="20" t="str">
        <f>'[9]Results-low'!F19</f>
        <v xml:space="preserve"> Yes, the following GitHub repositories include all the code that was used to collect the data: https://github.com/DeKUT-DSAIL/cameratrap-pi.git https://github.com/DeKUT- DSAIL/powering- raspberrypi.git https://github.com/DeKUT-DSAIL/cameratrap-openmv.git</v>
      </c>
      <c r="E8" s="20" t="str">
        <f>'[9]Results-low'!G19</f>
        <v>https://data.mendeley.com/datasets/6mhrhn7rxc/6</v>
      </c>
      <c r="F8" s="188" t="s">
        <v>371</v>
      </c>
      <c r="G8" s="28" t="s">
        <v>7</v>
      </c>
      <c r="H8" s="28" t="s">
        <v>3</v>
      </c>
      <c r="I8" s="39" t="s">
        <v>269</v>
      </c>
    </row>
    <row r="9" spans="1:9" s="19" customFormat="1" ht="272" x14ac:dyDescent="0.2">
      <c r="A9" s="150"/>
      <c r="B9" s="31" t="s">
        <v>82</v>
      </c>
      <c r="C9" s="30" t="s">
        <v>81</v>
      </c>
      <c r="D9" s="20" t="str">
        <f>"License: "&amp; '[9]Results-low'!F20 &amp; CHAR(10) &amp; CHAR(10)
&amp; "Thid-parties in-charge: "&amp; '[9]Results-low'!F24 &amp; CHAR(10) &amp; CHAR(10)
&amp; "Attribution notice: "&amp; '[9]Results-low'!F23 &amp; CHAR(10) &amp; CHAR(10)
&amp; "Data Stand-alone:" &amp; '[9]Results-low'!F21  &amp; CHAR(10) &amp; CHAR(10) &amp; "Model trained with the data:" &amp; '[9]Results-low'!F22</f>
        <v>License:  No.
Thid-parties in-charge:  No, the authors of the dataset are in charge of the license and distribution of the dataset.
Attribution notice:  Yes, the authors of the dataset must be attributed when using the dataset. The authors are Lorna Mugambi, Jason N. Kabi, Gabriel Kiarie, and Ciira wa Maina.
Data Stand-alone: The rights of the stand-alone dataset are that it can be used to train and test computer vision-based wildlife censusing algorithms, to test methodology to derive sex ratios and species distribution range maps from camera trap data, and to train and test object detection and classification machine learning models.
Model trained with the data: The models trained with this data do not have any rights associated with them.</v>
      </c>
      <c r="E9" s="20" t="str">
        <f>"License: "&amp; '[9]Results-low'!G20 &amp; CHAR(10) &amp; CHAR(10)
&amp; "Thid-parties in-charge: "&amp; '[9]Results-low'!G24 &amp; CHAR(10) &amp; CHAR(10)
&amp; "Attribution notice: "&amp; '[9]Results-low'!G23 &amp; CHAR(10) &amp; CHAR(10)
&amp; "Data Stand-alone:" &amp; '[9]Results-low'!G21  &amp; CHAR(10) &amp; CHAR(10) &amp; "Model trained with the data:" &amp; '[9]Results-low'!G22</f>
        <v>License: CC-BY-NC-ND
Thid-parties in-charge: No
Attribution notice: No
Data Stand-alone:It does not apply to this dataset
Model trained with the data:It does not apply to this dataset</v>
      </c>
      <c r="F9" s="188" t="s">
        <v>372</v>
      </c>
      <c r="G9" s="32" t="s">
        <v>43</v>
      </c>
      <c r="H9" s="32" t="s">
        <v>42</v>
      </c>
      <c r="I9" s="37" t="s">
        <v>96</v>
      </c>
    </row>
    <row r="10" spans="1:9" s="19" customFormat="1" ht="32" x14ac:dyDescent="0.2">
      <c r="A10" s="150"/>
      <c r="B10" s="31" t="s">
        <v>33</v>
      </c>
      <c r="C10" s="30" t="s">
        <v>80</v>
      </c>
      <c r="D10" s="29" t="str">
        <f>'[9]Results-low'!F25</f>
        <v xml:space="preserve"> No, there is no deprecation plan or policy of the dataset.</v>
      </c>
      <c r="E10" s="29" t="str">
        <f>'[9]Results-low'!G25</f>
        <v>No</v>
      </c>
      <c r="F10" s="189" t="s">
        <v>373</v>
      </c>
      <c r="G10" s="28" t="s">
        <v>3</v>
      </c>
      <c r="H10" s="28" t="s">
        <v>3</v>
      </c>
      <c r="I10" s="37" t="s">
        <v>96</v>
      </c>
    </row>
    <row r="11" spans="1:9" s="19" customFormat="1" ht="192" x14ac:dyDescent="0.2">
      <c r="A11" s="152" t="s">
        <v>77</v>
      </c>
      <c r="B11" s="24" t="s">
        <v>76</v>
      </c>
      <c r="C11" s="23" t="s">
        <v>75</v>
      </c>
      <c r="D11" s="20" t="str">
        <f>"Files:" &amp;'[9]Results-low'!F27 &amp; CHAR(10) &amp; CHAR(10) &amp; "Attributes:" &amp; '[9]Results-low'!F28</f>
        <v>Files: The dataset is composed of raw and jpg images, as well as annotation files containing species, count, sex of the animals, and the coordinates of the camera trap for each image captured.
Attributes: The dataset is composed of images from the Raspberry Pi 2 and Raspberry Pi Zero, which are saved in the 'RaspberryPi_images' folder. This folder contains subfolders named in order of when the camera traps were deployed in the conservancy. Images from the OpenMV Cam H7 are saved in the 'OpenMV_images' folder. The dataset also includes a .xlsx file with the annotation of the images, which includes the species in an image, the count, sex of the animals, and the coordinates of the camera trap for each image captured.</v>
      </c>
      <c r="E11" s="20" t="str">
        <f>"Files:" &amp;'[9]Results-low'!G27 &amp; CHAR(10) &amp; CHAR(10) &amp; "Attributes:" &amp; '[9]Results-low'!G28</f>
        <v>Files:1. Filename 2. Species 3. Count
Attributes:DSAIL-Porini: Annotated camera trap images of wildlife species from a conservancy in Kenya</v>
      </c>
      <c r="F11" s="188" t="s">
        <v>374</v>
      </c>
      <c r="G11" s="32" t="s">
        <v>34</v>
      </c>
      <c r="H11" s="32" t="s">
        <v>43</v>
      </c>
      <c r="I11" s="37" t="s">
        <v>96</v>
      </c>
    </row>
    <row r="12" spans="1:9" s="19" customFormat="1" ht="32" x14ac:dyDescent="0.2">
      <c r="A12" s="152"/>
      <c r="B12" s="24" t="s">
        <v>74</v>
      </c>
      <c r="C12" s="23" t="s">
        <v>73</v>
      </c>
      <c r="D12" s="20" t="str">
        <f>'[9]Results-low'!F32</f>
        <v xml:space="preserve"> No, the paper does not mention any recommended data split of the dataset.</v>
      </c>
      <c r="E12" s="20" t="str">
        <f>'[9]Results-low'!G32</f>
        <v>Not mentioned</v>
      </c>
      <c r="F12" s="188" t="s">
        <v>375</v>
      </c>
      <c r="G12" s="32" t="s">
        <v>3</v>
      </c>
      <c r="H12" s="32" t="s">
        <v>3</v>
      </c>
      <c r="I12" s="37" t="s">
        <v>96</v>
      </c>
    </row>
    <row r="13" spans="1:9" s="19" customFormat="1" ht="176" x14ac:dyDescent="0.2">
      <c r="A13" s="152"/>
      <c r="B13" s="27" t="s">
        <v>72</v>
      </c>
      <c r="C13" s="23" t="s">
        <v>71</v>
      </c>
      <c r="D13" s="20" t="str">
        <f>'[9]Results-low'!F31 &amp;  CHAR(10) &amp; CHAR(10) &amp; '[9]Results-low'!F30</f>
        <v xml:space="preserve"> No, the data does not have any explicit consistency rule.
 Yes, the dataset contains count analysis and sex distribution analysis. Count analysis was important because it aided in learning the behavioral patterns of some animal species in a controlled natural habitat and helped in keeping track of the species populations. Sex distribution analysis is also important because seeing the male and female species interact and knowing their distribution can help determine future population sizes. Fig. 3 shows a count analysis of the images with the bushbuck, impala, and common warthog species, and Fig. 4 shows the sex distribution of the bushbuck, impala, and waterbuck species.</v>
      </c>
      <c r="E13" s="20" t="str">
        <f>'[9]Results-low'!G31 &amp;  CHAR(10) &amp; CHAR(10) &amp; '[9]Results-low'!G30</f>
        <v>No
The dataset contains RGB images of 6 mammalian species found in Central Kenya. It contains sex-specific annotations for 3 species and counts for all species which can be used to train and test computer vision-based wildlife censusing algorithms.</v>
      </c>
      <c r="F13" s="188" t="s">
        <v>376</v>
      </c>
      <c r="G13" s="28" t="s">
        <v>3</v>
      </c>
      <c r="H13" s="28" t="s">
        <v>43</v>
      </c>
      <c r="I13" s="37"/>
    </row>
    <row r="14" spans="1:9" s="19" customFormat="1" ht="191" customHeight="1" x14ac:dyDescent="0.2">
      <c r="A14" s="153" t="s">
        <v>70</v>
      </c>
      <c r="B14" s="31" t="s">
        <v>44</v>
      </c>
      <c r="C14" s="30" t="s">
        <v>69</v>
      </c>
      <c r="D14" s="20" t="str">
        <f>'[9]Results-low'!F34</f>
        <v xml:space="preserve"> The data of the dataset was collected using camera traps deployed in a wildlife conservancy during the day. The camera traps were based on the Raspberry Pi 2, Raspberry Pi Zero, and OpenMV Cam H7. The camera traps were deployed at different points in the conservancy, taking shots and storing the images on SD cards. After about a week, the camera traps were retrieved and the images were oﬄoaded to a computer for annotation. The camera traps were then redeployed for data collection.</v>
      </c>
      <c r="E14" s="20" t="str">
        <f>'[9]Results-low'!G34</f>
        <v>The data were acquired using camera traps deployed in a wildlife conservancy during the day.</v>
      </c>
      <c r="F14" s="188" t="s">
        <v>377</v>
      </c>
      <c r="G14" s="28"/>
      <c r="H14" s="28"/>
      <c r="I14" s="87" t="s">
        <v>96</v>
      </c>
    </row>
    <row r="15" spans="1:9" s="19" customFormat="1" ht="124" customHeight="1" x14ac:dyDescent="0.2">
      <c r="A15" s="150"/>
      <c r="B15" s="31" t="s">
        <v>56</v>
      </c>
      <c r="C15" s="30" t="s">
        <v>68</v>
      </c>
      <c r="D15" s="20" t="str">
        <f>'[9]Results-low'!F35</f>
        <v xml:space="preserve"> Physical data collection</v>
      </c>
      <c r="E15" s="20" t="str">
        <f>'[9]Results-low'!G35</f>
        <v>Image data</v>
      </c>
      <c r="F15" s="188" t="s">
        <v>378</v>
      </c>
      <c r="G15" s="28" t="s">
        <v>3</v>
      </c>
      <c r="H15" s="28" t="s">
        <v>43</v>
      </c>
      <c r="I15" s="35" t="s">
        <v>96</v>
      </c>
    </row>
    <row r="16" spans="1:9" s="19" customFormat="1" ht="112" x14ac:dyDescent="0.2">
      <c r="A16" s="150"/>
      <c r="B16" s="31" t="s">
        <v>67</v>
      </c>
      <c r="C16" s="30" t="s">
        <v>66</v>
      </c>
      <c r="D16" s="20" t="str">
        <f>'[9]Results-low'!F45 &amp; CHAR(10) &amp; CHAR(10) &amp; "Type: "&amp;  '[9]Results-low'!F46 &amp; CHAR(10) &amp; CHAR(10) &amp; "Demographics: " &amp;  '[9]Results-low'!F47</f>
        <v xml:space="preserve"> The team who collected the data was from Dedan Kimathi University's Conservancy.
Type:  An internal team.
Demographics:  No, there is no demographic information of an internal team provided in the context.</v>
      </c>
      <c r="E16" s="20" t="str">
        <f>'[9]Results-low'!G45 &amp; CHAR(10) &amp; CHAR(10) &amp; "Type: "&amp;  '[9]Results-low'!G46 &amp; CHAR(10) &amp; CHAR(10) &amp; "Demographics: " &amp;  '[9]Results-low'!G47</f>
        <v>Lorna Mugambi , Jason N. Kabi , Gabriel Kiarie ,Ciira wa Maina
Type: an internal team
Demographics: No</v>
      </c>
      <c r="F16" s="188" t="s">
        <v>379</v>
      </c>
      <c r="G16" s="32" t="s">
        <v>34</v>
      </c>
      <c r="H16" s="32" t="s">
        <v>34</v>
      </c>
      <c r="I16" s="35" t="s">
        <v>96</v>
      </c>
    </row>
    <row r="17" spans="1:9" s="19" customFormat="1" ht="80" x14ac:dyDescent="0.2">
      <c r="A17" s="150"/>
      <c r="B17" s="31" t="s">
        <v>65</v>
      </c>
      <c r="C17" s="30" t="s">
        <v>64</v>
      </c>
      <c r="D17" s="29" t="str">
        <f>'[9]Results-low'!F40</f>
        <v xml:space="preserve"> No</v>
      </c>
      <c r="E17" s="29" t="str">
        <f>'[9]Results-low'!G40</f>
        <v>No</v>
      </c>
      <c r="F17" s="189" t="s">
        <v>78</v>
      </c>
      <c r="G17" s="28" t="s">
        <v>34</v>
      </c>
      <c r="H17" s="28" t="s">
        <v>34</v>
      </c>
      <c r="I17" s="35" t="s">
        <v>96</v>
      </c>
    </row>
    <row r="18" spans="1:9" s="19" customFormat="1" ht="190" customHeight="1" x14ac:dyDescent="0.2">
      <c r="A18" s="150"/>
      <c r="B18" s="31" t="s">
        <v>62</v>
      </c>
      <c r="C18" s="30" t="s">
        <v>61</v>
      </c>
      <c r="D18" s="20" t="str">
        <f>'[9]Results-low'!F41 &amp; CHAR(10) &amp; CHAR(10) &amp;  '[9]Results-low'!F42 &amp; CHAR(10) &amp; CHAR(10) &amp; "Noise: " &amp;  '[9]Results-low'!F43 &amp; CHAR(10) &amp; CHAR(10) &amp; "Link: " &amp; '[9]Results-low'!F44</f>
        <v xml:space="preserve"> The data has been collected from the Dedan Kimathi University Wildlife Conservancy (DeKUWC) in Kenya. It consists of 8524 images from four camera traps deployed, two of which use the Raspberry Pi 2, one uses the Raspberry Pi Zero and the other uses the OpenMV Cam H7.
 The data source is the Dedan Kimathi University Wildlife Conservancy (DeKUWC) in Kenya.
Noise:  It is difficult to say without further information.
Link:  It is difficult to say without further information.</v>
      </c>
      <c r="E18" s="20" t="str">
        <f>'[9]Results-low'!G41 &amp; CHAR(10) &amp; CHAR(10) &amp;  '[9]Results-low'!G42 &amp; CHAR(10) &amp; CHAR(10) &amp; "Noise: " &amp;  '[9]Results-low'!G43 &amp; CHAR(10) &amp; CHAR(10) &amp; "Link: " &amp; '[9]Results-low'!G44</f>
        <v>camera traps
camera traps
Noise: I don't know
Link: not provided</v>
      </c>
      <c r="F18" s="188" t="s">
        <v>380</v>
      </c>
      <c r="G18" s="32" t="s">
        <v>34</v>
      </c>
      <c r="H18" s="32" t="s">
        <v>34</v>
      </c>
      <c r="I18" s="35"/>
    </row>
    <row r="19" spans="1:9" s="19" customFormat="1" ht="96" x14ac:dyDescent="0.2">
      <c r="A19" s="150"/>
      <c r="B19" s="31" t="s">
        <v>60</v>
      </c>
      <c r="C19" s="30" t="s">
        <v>59</v>
      </c>
      <c r="D19" s="20" t="str">
        <f>'[9]Results-low'!F36 &amp; CHAR(10) &amp; CHAR(10) &amp; '[9]Results-low'!F38</f>
        <v xml:space="preserve"> Not provided
 Nyeri, Kenya</v>
      </c>
      <c r="E19" s="20" t="str">
        <f>'[9]Results-low'!G36 &amp; CHAR(10) &amp; CHAR(10) &amp; '[9]Results-low'!G38</f>
        <v>During a deployment window, the camera traps take shots and store the images on SD cards. After about a week, the camera traps are retrieved and the images are offloaded to a computer for annotation. The camera traps are then redeployed for data collection
Dedan Kimathi University Wildlife Conservancy (DeKUWC) in Kenya</v>
      </c>
      <c r="F19" s="188" t="s">
        <v>381</v>
      </c>
      <c r="G19" s="28" t="s">
        <v>43</v>
      </c>
      <c r="H19" s="28" t="s">
        <v>34</v>
      </c>
      <c r="I19" s="35"/>
    </row>
    <row r="20" spans="1:9" s="19" customFormat="1" ht="173" customHeight="1" x14ac:dyDescent="0.2">
      <c r="A20" s="151" t="s">
        <v>58</v>
      </c>
      <c r="B20" s="24" t="s">
        <v>44</v>
      </c>
      <c r="C20" s="23" t="s">
        <v>57</v>
      </c>
      <c r="D20" s="20" t="str">
        <f>'[9]Results-low'!F49</f>
        <v xml:space="preserve"> The data of the DSAIL-Porini dataset has been manually annotated with the following fields: Filename, Species, Count, Sex, Latitude and Longitude. The order of labeling was from foreground to background and left to right. The Sex column contains the sex of each animal in a particular image, with the sex of the animals labeled from left to right. Due to the lack of sex-revealing features with some animal species like the zebra and the warthogs, the sex column for these species was filled with the “Can’t Tell” label. The annotation of the images is available on Mendeley Data as a .xlsx file.</v>
      </c>
      <c r="E20" s="20" t="str">
        <f>'[9]Results-low'!G49</f>
        <v>The DSAIL-Porini dataset was manually annotated with the following fields: 1. Filename This is the name an image file was saved as. The filename takes the timestamp form of YYMM-DD-H-M-S and contains the exact date and time it was taken and saved. 2. Species This is the species identified in each image. Some images contained only one species. For example, Fig. 2(a) contains only impalas. Other images had more than one species. For example, Fig. 2(b) has two species,</v>
      </c>
      <c r="F20" s="188" t="s">
        <v>382</v>
      </c>
      <c r="G20" s="32" t="s">
        <v>3</v>
      </c>
      <c r="H20" s="32" t="s">
        <v>3</v>
      </c>
      <c r="I20" s="35"/>
    </row>
    <row r="21" spans="1:9" s="19" customFormat="1" ht="57" customHeight="1" x14ac:dyDescent="0.2">
      <c r="A21" s="152"/>
      <c r="B21" s="24" t="s">
        <v>56</v>
      </c>
      <c r="C21" s="23" t="s">
        <v>55</v>
      </c>
      <c r="D21" s="20" t="str">
        <f>'[9]Results-low'!F50</f>
        <v xml:space="preserve"> Image and video annotations</v>
      </c>
      <c r="E21" s="20" t="str">
        <f>'[9]Results-low'!G50</f>
        <v>Image and video annotations</v>
      </c>
      <c r="F21" s="188" t="s">
        <v>383</v>
      </c>
      <c r="G21" s="28" t="s">
        <v>3</v>
      </c>
      <c r="H21" s="28" t="s">
        <v>3</v>
      </c>
      <c r="I21" s="26" t="s">
        <v>96</v>
      </c>
    </row>
    <row r="22" spans="1:9" s="19" customFormat="1" ht="44" customHeight="1" x14ac:dyDescent="0.2">
      <c r="A22" s="152"/>
      <c r="B22" s="24" t="s">
        <v>54</v>
      </c>
      <c r="C22" s="23" t="s">
        <v>53</v>
      </c>
      <c r="D22" s="20" t="str">
        <f>'[9]Results-low'!F51</f>
        <v xml:space="preserve"> The labels of the dataset are Filename, Species, Count, Sex, Latitude, and Longitude. Filename is the name an image file was saved as, which takes the timestamp form of YYMM-DD-H-M-S and contains the exact date and time it was taken and saved. Species is the species identified in each image. Count is the number of individuals per species in a particular image. Sex is the sex of each animal in a particular image. Latitude and Longitude are the coordinates of the location the camera trap was deployed at the time the image was captured.</v>
      </c>
      <c r="E22" s="20" t="str">
        <f>'[9]Results-low'!G51</f>
        <v>1. Filename 2. Species 3. Count 4. Sex 5. Latitude and Longitude</v>
      </c>
      <c r="F22" s="189" t="s">
        <v>384</v>
      </c>
      <c r="G22" s="25" t="s">
        <v>3</v>
      </c>
      <c r="H22" s="25" t="s">
        <v>0</v>
      </c>
      <c r="I22" s="26" t="s">
        <v>96</v>
      </c>
    </row>
    <row r="23" spans="1:9" s="19" customFormat="1" ht="166" customHeight="1" x14ac:dyDescent="0.2">
      <c r="A23" s="152"/>
      <c r="B23" s="24" t="s">
        <v>52</v>
      </c>
      <c r="C23" s="23" t="s">
        <v>51</v>
      </c>
      <c r="D23" s="20" t="str">
        <f>'[9]Results-low'!F52 &amp; CHAR(10) &amp; CHAR(10) &amp; "Type:" &amp;'[9]Results-low'!F53 &amp; CHAR(10) &amp; CHAR(10) &amp; "Demographics:" &amp;'[9]Results-low'!F54</f>
        <v xml:space="preserve"> Lorna Mugambi, Jason N. Kabi, Gabriel Kiarie, and Ciira wa Maina have annotated the data.
Type: An internal team.
Demographics: No, there is no demographic information about the team who annotated the data.</v>
      </c>
      <c r="E23" s="20" t="str">
        <f>'[9]Results-low'!G52 &amp; CHAR(10) &amp; CHAR(10) &amp; "Type:" &amp;'[9]Results-low'!G53 &amp; CHAR(10) &amp; CHAR(10) &amp; "Demographics:" &amp;'[9]Results-low'!G54</f>
        <v>Lorna Mugambi , Jason N. Kabi , Gabriel Kiarie ,Ciira wa Maina
Type:internal team
Demographics:The authors declare that they have no known competing financial interests or personal relationships that could have appeared to influence the work reported in this paper.</v>
      </c>
      <c r="F23" s="188" t="s">
        <v>385</v>
      </c>
      <c r="G23" s="28" t="s">
        <v>0</v>
      </c>
      <c r="H23" s="28" t="s">
        <v>0</v>
      </c>
      <c r="I23" s="26"/>
    </row>
    <row r="24" spans="1:9" s="19" customFormat="1" ht="123" customHeight="1" x14ac:dyDescent="0.2">
      <c r="A24" s="152"/>
      <c r="B24" s="24" t="s">
        <v>49</v>
      </c>
      <c r="C24" s="23" t="s">
        <v>48</v>
      </c>
      <c r="D24" s="20" t="str">
        <f>'[9]Results-low'!F55</f>
        <v xml:space="preserve"> The dataset was manually annotated.</v>
      </c>
      <c r="E24" s="20" t="str">
        <f>'[9]Results-low'!G55</f>
        <v>Manual annotation</v>
      </c>
      <c r="F24" s="188" t="s">
        <v>386</v>
      </c>
      <c r="G24" s="32" t="s">
        <v>0</v>
      </c>
      <c r="H24" s="32" t="s">
        <v>0</v>
      </c>
      <c r="I24" s="33" t="s">
        <v>96</v>
      </c>
    </row>
    <row r="25" spans="1:9" s="19" customFormat="1" ht="60" customHeight="1" x14ac:dyDescent="0.2">
      <c r="A25" s="152"/>
      <c r="B25" s="24" t="s">
        <v>46</v>
      </c>
      <c r="C25" s="23" t="s">
        <v>45</v>
      </c>
      <c r="D25" s="20" t="str">
        <f>'[9]Results-low'!F56</f>
        <v xml:space="preserve"> Count and sex distribution analysis.</v>
      </c>
      <c r="E25" s="20" t="str">
        <f>'[9]Results-low'!G56</f>
        <v>Count and sex distribution analysis</v>
      </c>
      <c r="F25" s="188" t="s">
        <v>387</v>
      </c>
      <c r="G25" s="28" t="s">
        <v>7</v>
      </c>
      <c r="H25" s="28" t="s">
        <v>2</v>
      </c>
      <c r="I25" s="26" t="s">
        <v>269</v>
      </c>
    </row>
    <row r="26" spans="1:9" s="19" customFormat="1" ht="125" customHeight="1" x14ac:dyDescent="0.2">
      <c r="A26" s="148" t="s">
        <v>41</v>
      </c>
      <c r="B26" s="24" t="s">
        <v>40</v>
      </c>
      <c r="C26" s="23" t="s">
        <v>39</v>
      </c>
      <c r="D26" s="20" t="str">
        <f>'[9]Results-low'!F73</f>
        <v xml:space="preserve"> No, the authors declare that they have no known competing financial interests or personal relationships that could have appeared to influence the work reported in this paper. Additionally, the decision to place the camera traps was informed by factors such as the location of the mineral supplements provided for the animals, paths leading to water points, areas around water points, areas of interest pointed out by the wardens, paths leading to animal resting points and location of grazing areas.</v>
      </c>
      <c r="E26" s="20" t="str">
        <f>'[9]Results-low'!G73</f>
        <v>The dataset contains RGB images of 6 mammalian species found in Central Kenya. It contains sex-specific annotations for 3 species and counts for all species which can be used to train and test computer vision-based wildlife censusing algorithms.</v>
      </c>
      <c r="F26" s="188" t="s">
        <v>388</v>
      </c>
      <c r="G26" s="28" t="s">
        <v>34</v>
      </c>
      <c r="H26" s="28" t="s">
        <v>34</v>
      </c>
      <c r="I26" s="26" t="s">
        <v>96</v>
      </c>
    </row>
    <row r="27" spans="1:9" s="19" customFormat="1" ht="131" customHeight="1" x14ac:dyDescent="0.2">
      <c r="A27" s="148"/>
      <c r="B27" s="27" t="s">
        <v>38</v>
      </c>
      <c r="C27" s="23" t="s">
        <v>37</v>
      </c>
      <c r="D27" s="20" t="str">
        <f>'[9]Results-low'!F74 &amp; CHAR(10) &amp; '[9]Results-low'!F75 &amp; CHAR(10) &amp; CHAR(10)  &amp; "Sensitivity: " &amp; '[9]Results-low'!F76</f>
        <v xml:space="preserve"> No, there are no social groups that could be misrepresented in the dataset.
 Yes, there is an imbalance issue in the dataset. For example, there are more instances of male bushbucks than female bushbucks which can point to a male-skewed sex ratio.
Sensitivity:  No, there are no sensitive data or data that can be offensive for people in the dataset.</v>
      </c>
      <c r="E27" s="20" t="str">
        <f>'[9]Results-low'!G74 &amp; CHAR(10) &amp; '[9]Results-low'!G75 &amp; CHAR(10) &amp; CHAR(10)  &amp; "Sensitivity: " &amp; '[9]Results-low'!G76</f>
        <v>No
Interestingly there are more instances of male bushbucks than female bushbucks which can point to a male-skewed sex ratio
Sensitivity: No</v>
      </c>
      <c r="F27" s="189" t="s">
        <v>389</v>
      </c>
      <c r="G27" s="28" t="s">
        <v>34</v>
      </c>
      <c r="H27" s="28" t="s">
        <v>34</v>
      </c>
      <c r="I27" s="26"/>
    </row>
    <row r="28" spans="1:9" s="19" customFormat="1" ht="32" x14ac:dyDescent="0.2">
      <c r="A28" s="148"/>
      <c r="B28" s="24" t="s">
        <v>151</v>
      </c>
      <c r="C28" s="23" t="s">
        <v>152</v>
      </c>
      <c r="D28" s="20" t="str">
        <f>'[9]Results-low'!F76</f>
        <v xml:space="preserve"> No, there are no sensitive data or data that can be offensive for people in the dataset.</v>
      </c>
      <c r="E28" s="20" t="str">
        <f>'[9]Results-low'!G76</f>
        <v>No</v>
      </c>
      <c r="F28" s="188" t="s">
        <v>390</v>
      </c>
      <c r="G28" s="28" t="s">
        <v>34</v>
      </c>
      <c r="H28" s="28" t="s">
        <v>34</v>
      </c>
      <c r="I28" s="22" t="s">
        <v>96</v>
      </c>
    </row>
    <row r="29" spans="1:9" s="19" customFormat="1" ht="64" x14ac:dyDescent="0.2">
      <c r="A29" s="148"/>
      <c r="B29" s="24" t="s">
        <v>36</v>
      </c>
      <c r="C29" s="23" t="s">
        <v>35</v>
      </c>
      <c r="D29" s="20" t="str">
        <f>'[9]Results-low'!F77</f>
        <v xml:space="preserve"> No, there is no mention of any privacy issues on the data.</v>
      </c>
      <c r="E29" s="20" t="str">
        <f>'[9]Results-low'!G77</f>
        <v>It does not apply to this dataset.</v>
      </c>
      <c r="F29" s="188" t="s">
        <v>391</v>
      </c>
      <c r="G29" s="28" t="s">
        <v>34</v>
      </c>
      <c r="H29" s="28" t="s">
        <v>34</v>
      </c>
      <c r="I29" s="22" t="s">
        <v>96</v>
      </c>
    </row>
    <row r="30" spans="1:9" ht="19" customHeight="1" x14ac:dyDescent="0.2">
      <c r="F30" s="188" t="s">
        <v>392</v>
      </c>
      <c r="H30" s="176" t="s">
        <v>6</v>
      </c>
      <c r="I30" s="178">
        <v>75</v>
      </c>
    </row>
    <row r="31" spans="1:9" ht="16" x14ac:dyDescent="0.2">
      <c r="F31" s="188" t="s">
        <v>345</v>
      </c>
    </row>
    <row r="32" spans="1:9" x14ac:dyDescent="0.2">
      <c r="F32" s="190"/>
    </row>
  </sheetData>
  <mergeCells count="7">
    <mergeCell ref="A26:A29"/>
    <mergeCell ref="A2:A4"/>
    <mergeCell ref="A5:A7"/>
    <mergeCell ref="A8:A10"/>
    <mergeCell ref="A11:A13"/>
    <mergeCell ref="A14:A19"/>
    <mergeCell ref="A20:A25"/>
  </mergeCells>
  <conditionalFormatting sqref="G74:H85 G2:H29">
    <cfRule type="containsText" dxfId="27" priority="5" operator="containsText" text="Fair">
      <formula>NOT(ISERROR(SEARCH("Fair",G2)))</formula>
    </cfRule>
    <cfRule type="containsText" dxfId="26" priority="6" operator="containsText" text="Bad">
      <formula>NOT(ISERROR(SEARCH("Bad",G2)))</formula>
    </cfRule>
    <cfRule type="containsText" dxfId="25" priority="7" stopIfTrue="1" operator="containsText" text="Good">
      <formula>NOT(ISERROR(SEARCH("Good",G2)))</formula>
    </cfRule>
    <cfRule type="containsText" dxfId="24" priority="8" operator="containsText" text="Hallucinate">
      <formula>NOT(ISERROR(SEARCH("Hallucinate",G2)))</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92C43-59E6-0444-9311-485492400C67}">
  <dimension ref="A1:I30"/>
  <sheetViews>
    <sheetView topLeftCell="D24" zoomScale="130" zoomScaleNormal="130" workbookViewId="0">
      <selection activeCell="F2" sqref="F2"/>
    </sheetView>
  </sheetViews>
  <sheetFormatPr baseColWidth="10" defaultRowHeight="16" x14ac:dyDescent="0.2"/>
  <cols>
    <col min="1" max="1" width="27.33203125" style="19" customWidth="1"/>
    <col min="2" max="2" width="37.5" style="18" customWidth="1"/>
    <col min="3" max="3" width="34" style="18" customWidth="1"/>
    <col min="4" max="5" width="57.1640625" style="19" customWidth="1"/>
    <col min="6" max="6" width="53" style="1" customWidth="1"/>
    <col min="7" max="8" width="33.6640625" style="17" customWidth="1"/>
    <col min="9" max="9" width="37.33203125" style="17" customWidth="1"/>
    <col min="10" max="16384" width="10.83203125" style="17"/>
  </cols>
  <sheetData>
    <row r="1" spans="1:9" s="19" customFormat="1" ht="33" customHeight="1" thickBot="1" x14ac:dyDescent="0.25">
      <c r="A1" s="44" t="s">
        <v>9</v>
      </c>
      <c r="B1" s="44" t="s">
        <v>105</v>
      </c>
      <c r="C1" s="44" t="s">
        <v>104</v>
      </c>
      <c r="D1" s="42" t="s">
        <v>270</v>
      </c>
      <c r="E1" s="42" t="s">
        <v>107</v>
      </c>
      <c r="F1" s="88" t="s">
        <v>117</v>
      </c>
      <c r="G1" s="43" t="s">
        <v>101</v>
      </c>
      <c r="H1" s="43" t="s">
        <v>222</v>
      </c>
      <c r="I1" s="43" t="s">
        <v>266</v>
      </c>
    </row>
    <row r="2" spans="1:9" s="19" customFormat="1" ht="260" customHeight="1" thickTop="1" x14ac:dyDescent="0.2">
      <c r="A2" s="149" t="s">
        <v>99</v>
      </c>
      <c r="B2" s="38" t="s">
        <v>98</v>
      </c>
      <c r="C2" s="30" t="s">
        <v>97</v>
      </c>
      <c r="D2" s="20" t="str">
        <f>"Purposes: "&amp; '[10]Results-low'!F2&amp;CHAR(10)&amp;CHAR(10)&amp;"Gaps: "&amp;'[10]Results-low'!F5 &amp;CHAR(10)&amp;CHAR(10)&amp;"Tasks: "&amp;'[10]Results-low'!F3 &amp;CHAR(10)&amp;CHAR(10)&amp;"Tags: "&amp;'[10]Results-low'!F4</f>
        <v>Purposes:  The purpose of the dataset is to help researchers develop state-of-the-art models for stance detection on tweets, especially Indonesian opinion, and to monitor and analyze public opinion on Twitter related to the COVID-19 vaccination program during Indonesia's first ten months of the vaccination program, which is helpful as a guide in the development of policies.
Gaps:  The dataset intends to fill the gaps in understanding how sentiment and contextual information impact the performance of stance detection on Twitter text (tweets), which are short texts with slight information. It also provides insights into diverse aspects of the COVID-19 vaccination program, making it possible to provide more accurate sentiment information. It can help the research community develop state-of-the-art models for stance detection on tweets, especially Indonesian opinion.
Tasks:  text-classification, sentiment-analysis, social network analysis, public opinion analysis
Tags:  COVID-19, Vaccination, Stance Detection, Aspect-based Sentiment Analysis, Indonesian, Twitter, Public Opinion Analysis, Vaccine Acceptance, Network Features, Classification Models, Data Labeling, Majority Voting Strategy, Word Embedding, Word2Vec, TF-IDF, Random Forest, BiLSTM, GRU, KNN, SVM, Naïve Bayes, Decision Tree</v>
      </c>
      <c r="E2" s="20" t="str">
        <f>"Purposes: "&amp; '[10]Results-low'!H2&amp;CHAR(10)&amp;CHAR(10)&amp;"Gaps: "&amp;'[10]Results-low'!H5 &amp;CHAR(10)&amp;CHAR(10)&amp;"Tasks: "&amp;'[10]Results-low'!H3 &amp;CHAR(10)&amp;CHAR(10)&amp;"Tags: "&amp;'[10]Results-low'!H4</f>
        <v>Purposes: stance detection, aspect-based sentiment analysis, and social network analysis
Gaps: This data is not only for validating sentiment and contextual information for stance detection but can also be used for public opinion analysis of vaccination programs that tend to have pros and cons opinion.
Tasks: text-classification
Tags: stance, neutral, against, aspect, aspect_category, aspect_sentiment, stance</v>
      </c>
      <c r="F2" s="14" t="s">
        <v>337</v>
      </c>
      <c r="G2" s="41" t="s">
        <v>34</v>
      </c>
      <c r="H2" s="41" t="s">
        <v>43</v>
      </c>
      <c r="I2" s="40" t="s">
        <v>96</v>
      </c>
    </row>
    <row r="3" spans="1:9" s="19" customFormat="1" ht="160" customHeight="1" x14ac:dyDescent="0.2">
      <c r="A3" s="150"/>
      <c r="B3" s="31" t="s">
        <v>95</v>
      </c>
      <c r="C3" s="30" t="s">
        <v>94</v>
      </c>
      <c r="D3" s="20" t="str">
        <f>'[10]Results-low'!F7&amp;CHAR(10)&amp;CHAR(10)&amp;'[10]Results-low'!F8</f>
        <v xml:space="preserve"> The dataset is recommended for public opinion analysis on Twitter, including stance detection, aspect-based sentiment analysis, and social network analysis. It can also be used for public health surveillance to prevent rejection and increase public acceptance of the COVID-19 vaccine.
 No.</v>
      </c>
      <c r="E3" s="20" t="str">
        <f>'[10]Results-low'!H7&amp;CHAR(10)&amp;CHAR(10)&amp;'[10]Results-low'!H8</f>
        <v>public opinion analysis on Twitter
no</v>
      </c>
      <c r="F3" s="14" t="s">
        <v>338</v>
      </c>
      <c r="G3" s="28" t="s">
        <v>34</v>
      </c>
      <c r="H3" s="28" t="s">
        <v>34</v>
      </c>
      <c r="I3" s="39" t="s">
        <v>96</v>
      </c>
    </row>
    <row r="4" spans="1:9" s="19" customFormat="1" ht="133" customHeight="1" x14ac:dyDescent="0.2">
      <c r="A4" s="150"/>
      <c r="B4" s="31" t="s">
        <v>93</v>
      </c>
      <c r="C4" s="30" t="s">
        <v>92</v>
      </c>
      <c r="D4" s="20" t="str">
        <f>'[10]Results-low'!F9</f>
        <v xml:space="preserve"> The models used to test the dataset were Naïve Bayes (NB), K-Nearest Neighbor (KNN), Decision Tree (DT), Support Vector Machine (SVM), Random Forest (RF), Gated Recurrent Unit (GRU), Bidirectional GRU (BiGRU), Long Short-Term Memory (LSTM), and Bidirectional LSTM (BiLSTM).</v>
      </c>
      <c r="E4" s="20" t="str">
        <f>'[10]Results-low'!H9</f>
        <v>Nave Bayes (NB), K-Nearest Neighbor (KNN), Decision Tree (DT), Support Vector Machine (SVM), and Random Forest (RF), were implemented using sklearn 7 with default parameters.</v>
      </c>
      <c r="F4" s="14" t="s">
        <v>339</v>
      </c>
      <c r="G4" s="32" t="s">
        <v>34</v>
      </c>
      <c r="H4" s="32" t="s">
        <v>34</v>
      </c>
      <c r="I4" s="40" t="s">
        <v>96</v>
      </c>
    </row>
    <row r="5" spans="1:9" s="19" customFormat="1" ht="102" x14ac:dyDescent="0.2">
      <c r="A5" s="151" t="s">
        <v>91</v>
      </c>
      <c r="B5" s="24" t="s">
        <v>90</v>
      </c>
      <c r="C5" s="23" t="s">
        <v>89</v>
      </c>
      <c r="D5" s="20" t="str">
        <f>'[10]Results-low'!F11</f>
        <v xml:space="preserve"> Diana Purwitasari, Cornelius Bagus Purnama Putra, Agus Budi Raharjo</v>
      </c>
      <c r="E5" s="20" t="str">
        <f>'[10]Results-low'!H11</f>
        <v>Diana Purwitasari, Cornelius Bagus Purnama Putra, Agus Budi Raharjo</v>
      </c>
      <c r="F5" s="14" t="s">
        <v>340</v>
      </c>
      <c r="G5" s="32" t="s">
        <v>34</v>
      </c>
      <c r="H5" s="32" t="s">
        <v>34</v>
      </c>
      <c r="I5" s="40" t="s">
        <v>96</v>
      </c>
    </row>
    <row r="6" spans="1:9" s="19" customFormat="1" ht="112" x14ac:dyDescent="0.2">
      <c r="A6" s="152"/>
      <c r="B6" s="24" t="s">
        <v>29</v>
      </c>
      <c r="C6" s="23" t="s">
        <v>88</v>
      </c>
      <c r="D6" s="20" t="str">
        <f>'[10]Results-low'!F12 &amp; CHAR(10) &amp; CHAR(10) &amp; "Type:" &amp; '[10]Results-low'!F13  &amp; CHAR(10) &amp; CHAR(10) &amp; "Grants ID:" &amp; '[10]Results-low'!F14</f>
        <v xml:space="preserve"> Yes, this work was supported by Indonesian Ministry of Research and Technology under Grant No. 084/E5/PG.02.00.PT/2022 with an institutional contract No. 1440/PKS/ITS/2022.
Type: Public
Grants ID: Not provided.</v>
      </c>
      <c r="E6" s="20" t="str">
        <f>'[10]Results-low'!H12 &amp; CHAR(10) &amp; CHAR(10) &amp; "Type:" &amp; '[10]Results-low'!H13  &amp; CHAR(10) &amp; CHAR(10) &amp; "Grants ID:" &amp; '[10]Results-low'!H14</f>
        <v>Indonesian Ministry of Research and Technology
Type:public
Grants ID:not provided</v>
      </c>
      <c r="F6" s="14" t="s">
        <v>341</v>
      </c>
      <c r="G6" s="28" t="s">
        <v>34</v>
      </c>
      <c r="H6" s="28" t="s">
        <v>34</v>
      </c>
      <c r="I6" s="40" t="s">
        <v>96</v>
      </c>
    </row>
    <row r="7" spans="1:9" s="19" customFormat="1" ht="302" customHeight="1" x14ac:dyDescent="0.2">
      <c r="A7" s="152"/>
      <c r="B7" s="24" t="s">
        <v>87</v>
      </c>
      <c r="C7" s="23" t="s">
        <v>86</v>
      </c>
      <c r="D7" s="20" t="str">
        <f>'[10]Results-low'!F14 &amp; CHAR(10) &amp; CHAR(10) &amp; "Contribution guidelines:" &amp; '[10]Results-low'!F15  &amp; CHAR(10) &amp; CHAR(10) &amp; "Erratum:" &amp; '[10]Results-low'!F16 &amp; CHAR(10) &amp; CHAR(10) &amp; "Data Retention:" &amp; '[10]Results-low'!F17</f>
        <v xml:space="preserve"> Not provided.
Contribution guidelines: The maintainers of the dataset are Diana Purwitasari, Cornelius Bagus Purnama Putra, and Agus Budi Raharjo.
Erratum: No.
Data Retention: No.</v>
      </c>
      <c r="E7" s="20" t="str">
        <f>'[10]Results-low'!H14 &amp; CHAR(10) &amp; CHAR(10) &amp; "Contribution guidelines:" &amp; '[10]Results-low'!H15  &amp; CHAR(10) &amp; CHAR(10) &amp; "Erratum:" &amp; '[10]Results-low'!H16 &amp; CHAR(10) &amp; CHAR(10) &amp; "Data Retention:" &amp; '[10]Results-low'!H17</f>
        <v>not provided
Contribution guidelines:Diana Purwitasari, Cornelius Bagus Purnama Putra, Agus Budi Raharjo
Erratum:The dataset was collected and processed to further increase our understanding of how sentiment and contextual information impact the performance of stance detection on Twitter text (tweet), which is a short text with slight information. The data in Indonesian language since Indonesian Twitter users are among the active ones especially during pandemic. This data is not only for validating sentiment and contextual information for stance detection but can also be used for public opinion analysis of vaccination programs that tend to have pros and cons opinion. This dataset adds value aspect-based sentiment information as sub-topics for more accurate sentiment information at the aspect level on
Data Retention:no</v>
      </c>
      <c r="F7" s="14" t="s">
        <v>342</v>
      </c>
      <c r="G7" s="32" t="s">
        <v>34</v>
      </c>
      <c r="H7" s="32" t="s">
        <v>34</v>
      </c>
      <c r="I7" s="39" t="s">
        <v>96</v>
      </c>
    </row>
    <row r="8" spans="1:9" s="19" customFormat="1" ht="48" x14ac:dyDescent="0.2">
      <c r="A8" s="153" t="s">
        <v>85</v>
      </c>
      <c r="B8" s="38" t="s">
        <v>84</v>
      </c>
      <c r="C8" s="30" t="s">
        <v>83</v>
      </c>
      <c r="D8" s="20" t="str">
        <f>'[10]Results-low'!F19</f>
        <v xml:space="preserve"> Yes, there is a link to the repository containing the data. The link is https://data.mendeley.com/datasets/7ky2jbjwtn/3.</v>
      </c>
      <c r="E8" s="20" t="str">
        <f>'[10]Results-low'!H19</f>
        <v>https://data.mendeley.com/datasets/7ky2jbjwtn/3</v>
      </c>
      <c r="F8" s="14" t="s">
        <v>343</v>
      </c>
      <c r="G8" s="28" t="s">
        <v>34</v>
      </c>
      <c r="H8" s="28" t="s">
        <v>34</v>
      </c>
      <c r="I8" s="39" t="s">
        <v>96</v>
      </c>
    </row>
    <row r="9" spans="1:9" s="19" customFormat="1" ht="350" x14ac:dyDescent="0.2">
      <c r="A9" s="150"/>
      <c r="B9" s="38" t="s">
        <v>82</v>
      </c>
      <c r="C9" s="30" t="s">
        <v>81</v>
      </c>
      <c r="D9" s="20" t="str">
        <f>"License: "&amp; '[10]Results-low'!F19 &amp; CHAR(10) &amp; CHAR(10)
&amp; "Thid-parties in-charge: "&amp; '[10]Results-low'!F24 &amp; CHAR(10) &amp; CHAR(10)
&amp; "Attribution notice: "&amp; '[10]Results-low'!F23 &amp; CHAR(10) &amp; CHAR(10)
&amp; "Data Stand-alone:" &amp; '[10]Results-low'!F21  &amp; CHAR(10) &amp; CHAR(10) &amp; "Model trained with the data:" &amp; '[10]Results-low'!F22</f>
        <v>License:  Yes, there is a link to the repository containing the data. The link is https://data.mendeley.com/datasets/7ky2jbjwtn/3.
Thid-parties in-charge:  No, due to Twitter's content redistribution policies, the authors only shared Tweet IDs, user IDs, the user community, and the annotation label. Researchers should collect the tweets using Twitter API to provide the information needed.
Attribution notice:  Yes, due to Twitter's content redistribution policies [[1]], the authors provide a credit authorship contribution statement and an acknowledgement section.
Data Stand-alone: The stand-alone dataset has the right to be used for monitoring and analyzing public opinion on Twitter related to the COVID-19 vaccination program during Indonesia's first ten months of the vaccination program, which is helpful as a guide in the development of policies. It can also be used for many research purposes, including stance detection and aspect-based sentiment analysis, especially public opinion analysis on Twitter.
Model trained with the data: The models trained with this data are subject to the Twitter developer policy 2022 and its regulations.</v>
      </c>
      <c r="E9" s="20" t="str">
        <f>'[10]Results-low'!H20</f>
        <v>Twitter developer policy 2022</v>
      </c>
      <c r="F9" s="14" t="s">
        <v>344</v>
      </c>
      <c r="G9" s="32" t="s">
        <v>7</v>
      </c>
      <c r="H9" s="32" t="s">
        <v>42</v>
      </c>
      <c r="I9" s="37" t="s">
        <v>269</v>
      </c>
    </row>
    <row r="10" spans="1:9" s="19" customFormat="1" ht="32" x14ac:dyDescent="0.2">
      <c r="A10" s="150"/>
      <c r="B10" s="31" t="s">
        <v>33</v>
      </c>
      <c r="C10" s="30" t="s">
        <v>80</v>
      </c>
      <c r="D10" s="29" t="str">
        <f>'[10]Results-low'!F25</f>
        <v xml:space="preserve"> No, there is no deprecation plan or policy of the dataset.</v>
      </c>
      <c r="E10" s="29" t="str">
        <f>'[10]Results-low'!H25</f>
        <v>Our data were collected, scraped, and distributed under the Twitter developer policy 2022 and followed its regulations</v>
      </c>
      <c r="F10" s="89" t="s">
        <v>345</v>
      </c>
      <c r="G10" s="28" t="s">
        <v>34</v>
      </c>
      <c r="H10" s="28" t="s">
        <v>43</v>
      </c>
      <c r="I10" s="37" t="s">
        <v>96</v>
      </c>
    </row>
    <row r="11" spans="1:9" s="19" customFormat="1" ht="240" x14ac:dyDescent="0.2">
      <c r="A11" s="152" t="s">
        <v>77</v>
      </c>
      <c r="B11" s="24" t="s">
        <v>76</v>
      </c>
      <c r="C11" s="23" t="s">
        <v>75</v>
      </c>
      <c r="D11" s="20" t="str">
        <f>"Files:" &amp;'[10]Results-low'!F27 &amp; CHAR(10) &amp; CHAR(10) &amp; "Attributes:" &amp; '[10]Results-low'!F28</f>
        <v>Files: The dataset is composed of three data files: Indo_vaccination_raw.csv, Indo_vaccination_cleaned.csv, and Indo_vaccination_labeled.csv.
Attributes: The dataset is composed of three files: Indo_vaccination_raw.csv, Indo_vaccination_cleaned.csv, and Indo_vaccination_labeled.csv. The Indo_vaccination_raw.csv file is the initial dataset obtained from the data collection process using Twitter API services. It contains 2,400,414 Indonesian COVID-19 vaccine-related tweets. The Indo_vaccination_cleaned.csv file is the cleaned dataset obtained from the data cleaning and preprocessing. It contains 248,604 tweets posted by 140,761 unique users on Twitter. The Indo_vaccination_labeled.csv file is the labeled dataset which contains 9,030 manually selected tweets from the cleaned dataset. It is identified by two labeling tasks: stance and aspect-based sentiment labels.</v>
      </c>
      <c r="E11" s="20" t="str">
        <f>"Files:" &amp;'[10]Results-low'!H27 &amp; CHAR(10) &amp; CHAR(10) &amp; "Attributes:" &amp; '[10]Results-low'!H28</f>
        <v>Files:There were three data files in our dataset and readme file.
Attributes:The Initial dataset is a raw data that obtained from the data collection process using Twitter API services. This study collected 2,400,414 Indonesian COVID-19 vaccine-related tweets as the initial dataset (Indo_vaccination_raw.csv) during the first ten months of the COVID-19 vaccination program in Indonesia, from January to October 2021. This raw data contains unfiltered list of tweets used in this study.</v>
      </c>
      <c r="F11" s="14" t="s">
        <v>346</v>
      </c>
      <c r="G11" s="32" t="s">
        <v>34</v>
      </c>
      <c r="H11" s="32" t="s">
        <v>34</v>
      </c>
      <c r="I11" s="37" t="s">
        <v>96</v>
      </c>
    </row>
    <row r="12" spans="1:9" s="19" customFormat="1" ht="68" x14ac:dyDescent="0.2">
      <c r="A12" s="152"/>
      <c r="B12" s="24" t="s">
        <v>74</v>
      </c>
      <c r="C12" s="23" t="s">
        <v>73</v>
      </c>
      <c r="D12" s="20" t="str">
        <f>'[10]Results-low'!F32</f>
        <v xml:space="preserve"> No, the paper does not mention any recommended data split of the dataset.</v>
      </c>
      <c r="E12" s="20" t="str">
        <f>'[10]Results-low'!H32</f>
        <v>Not mentioned</v>
      </c>
      <c r="F12" s="14" t="s">
        <v>347</v>
      </c>
      <c r="G12" s="32" t="s">
        <v>34</v>
      </c>
      <c r="H12" s="32" t="s">
        <v>34</v>
      </c>
      <c r="I12" s="37" t="s">
        <v>96</v>
      </c>
    </row>
    <row r="13" spans="1:9" s="19" customFormat="1" ht="224" x14ac:dyDescent="0.2">
      <c r="A13" s="152"/>
      <c r="B13" s="27" t="s">
        <v>72</v>
      </c>
      <c r="C13" s="23" t="s">
        <v>71</v>
      </c>
      <c r="D13" s="20" t="str">
        <f>'[10]Results-low'!F31 &amp;  CHAR(10) &amp; CHAR(10) &amp; '[10]Results-low'!F30</f>
        <v xml:space="preserve"> No, the data does not have any explicit consistency rule. The data was labeled using a majority voting strategy for the final label. If each analyst's notation differed, the tweet was marked as class invalid.
 Yes, Table 2 displays the distribution of each class label column. The labeled dataset annotations classify three predefined labels of stance, including favor containing 3,753 tweets, neutral with 3,299 tweets, and against with 1,978 tweets. Moreover, each tweet is annotated into seven predetermined categories of aspects concerning the target that represent challenges and issues of the COVID-19 vaccination program, including services, implementation, apps, costs, participants, vaccine products, and general. Each tweet can have a multiple-aspect category, with each aspect category having two possible sentiment values: positive and negative.</v>
      </c>
      <c r="E13" s="20" t="str">
        <f>'[10]Results-low'!H31 &amp;  CHAR(10) &amp; CHAR(10) &amp; '[10]Results-low'!H30</f>
        <v xml:space="preserve">No
The dataset contains three data files: a.initial data (Indo_vaccination_raw.csv) The initial dataset is a raw data that obtained from the data collection process using Twitter API services. This study collected 2,400,414 Indonesian COVID-19 vaccine-related tweets as the initial dataset (Indo_vaccination_raw.csv) during the first ten months of the COVID-19 vaccination program in Indonesia, from January to October 2021. This raw data contains unfiltered list of tweets used in this study. </v>
      </c>
      <c r="F13" s="14" t="s">
        <v>348</v>
      </c>
      <c r="G13" s="28" t="s">
        <v>34</v>
      </c>
      <c r="H13" s="28" t="s">
        <v>42</v>
      </c>
      <c r="I13" s="37"/>
    </row>
    <row r="14" spans="1:9" s="19" customFormat="1" ht="191" customHeight="1" x14ac:dyDescent="0.2">
      <c r="A14" s="153" t="s">
        <v>70</v>
      </c>
      <c r="B14" s="31" t="s">
        <v>44</v>
      </c>
      <c r="C14" s="30" t="s">
        <v>69</v>
      </c>
      <c r="D14" s="20" t="str">
        <f>'[10]Results-low'!F34</f>
        <v xml:space="preserve"> The data was collected using Twitter API on Python with specific keywords: vaksin (vaccines) and vaksinasi (vaccination). The tweets used are Indonesian tweets posted between January and October 2021, Indonesia's first period of COVID-19 vaccination. A maximum of 250,000 sample tweets were collected each month. The data was filtered to remove irrelevant data, including non-Bahasa (Indonesian language), non-COVID-19 vaccine-related, and spam tweets. The data was also filtered from a tweet by the government account to represent public opinion without any specific purpose. Finally, 248,604 tweets (representing 10% of the initial dataset) posted by 140,761 unique users on Twitter were cleaned as a raw dataset.</v>
      </c>
      <c r="E14" s="20" t="str">
        <f>'[10]Results-low'!H34</f>
        <v>The data were collected using Twitter API 1 on Python with specific keywords: vaksin (vaccines) and vaksinasi (vaccination).</v>
      </c>
      <c r="F14" s="14" t="s">
        <v>349</v>
      </c>
      <c r="G14" s="28" t="s">
        <v>34</v>
      </c>
      <c r="H14" s="28" t="s">
        <v>34</v>
      </c>
      <c r="I14" s="87" t="s">
        <v>96</v>
      </c>
    </row>
    <row r="15" spans="1:9" s="19" customFormat="1" ht="124" customHeight="1" x14ac:dyDescent="0.2">
      <c r="A15" s="150"/>
      <c r="B15" s="31" t="s">
        <v>56</v>
      </c>
      <c r="C15" s="30" t="s">
        <v>68</v>
      </c>
      <c r="D15" s="20" t="str">
        <f>'[10]Results-low'!F35</f>
        <v xml:space="preserve"> Web API</v>
      </c>
      <c r="E15" s="20" t="str">
        <f>'[10]Results-low'!H35</f>
        <v>Web API</v>
      </c>
      <c r="F15" s="14" t="s">
        <v>350</v>
      </c>
      <c r="G15" s="28" t="s">
        <v>34</v>
      </c>
      <c r="H15" s="28" t="s">
        <v>34</v>
      </c>
      <c r="I15" s="35" t="s">
        <v>96</v>
      </c>
    </row>
    <row r="16" spans="1:9" s="19" customFormat="1" ht="112" x14ac:dyDescent="0.2">
      <c r="A16" s="150"/>
      <c r="B16" s="31" t="s">
        <v>67</v>
      </c>
      <c r="C16" s="30" t="s">
        <v>66</v>
      </c>
      <c r="D16" s="20" t="str">
        <f>'[10]Results-low'!F45 &amp; CHAR(10) &amp; CHAR(10) &amp; "Type: "&amp;  '[10]Results-low'!F46 &amp; CHAR(10) &amp; CHAR(10) &amp; "Demographics: " &amp;  '[10]Results-low'!F47</f>
        <v xml:space="preserve"> Diana Purwitasari, Cornelius Bagus Purnama Putra, and Agus Budi Raharjo.
Type:  The data was collected by an internal team.
Demographics:  No, the data does not contain any demographic information.</v>
      </c>
      <c r="E16" s="20" t="str">
        <f>'[10]Results-low'!H45 &amp; CHAR(10) &amp; CHAR(10) &amp; "Type: "&amp;  '[10]Results-low'!H46 &amp; CHAR(10) &amp; CHAR(10) &amp; "Demographics: " &amp;  '[10]Results-low'!H47</f>
        <v>Diana Purwitasari, Cornelius Bagus Purnama Putra, Agus Budi Raharjo
Type: an external team
Demographics: No</v>
      </c>
      <c r="F16" s="14" t="s">
        <v>351</v>
      </c>
      <c r="G16" s="32" t="s">
        <v>34</v>
      </c>
      <c r="H16" s="32" t="s">
        <v>42</v>
      </c>
      <c r="I16" s="35" t="s">
        <v>96</v>
      </c>
    </row>
    <row r="17" spans="1:9" s="19" customFormat="1" ht="80" x14ac:dyDescent="0.2">
      <c r="A17" s="150"/>
      <c r="B17" s="31" t="s">
        <v>225</v>
      </c>
      <c r="C17" s="30" t="s">
        <v>64</v>
      </c>
      <c r="D17" s="29" t="str">
        <f>'[10]Results-low'!F40</f>
        <v xml:space="preserve"> Yes</v>
      </c>
      <c r="E17" s="29" t="str">
        <f>'[10]Results-low'!H40</f>
        <v>Yes</v>
      </c>
      <c r="F17" s="89" t="s">
        <v>352</v>
      </c>
      <c r="G17" s="28" t="s">
        <v>34</v>
      </c>
      <c r="H17" s="28" t="s">
        <v>34</v>
      </c>
      <c r="I17" s="35" t="s">
        <v>96</v>
      </c>
    </row>
    <row r="18" spans="1:9" s="19" customFormat="1" ht="192" x14ac:dyDescent="0.2">
      <c r="A18" s="150"/>
      <c r="B18" s="31" t="s">
        <v>62</v>
      </c>
      <c r="C18" s="30" t="s">
        <v>61</v>
      </c>
      <c r="D18" s="20" t="str">
        <f>'[10]Results-low'!F41 &amp; CHAR(10) &amp; CHAR(10) &amp;  '[10]Results-low'!F42 &amp; CHAR(10) &amp; CHAR(10) &amp; "Noise: " &amp;  '[10]Results-low'!F43 &amp; CHAR(10) &amp; CHAR(10) &amp; "Link: " &amp; '[10]Results-low'!F44</f>
        <v xml:space="preserve"> The data was collected from Twitter using the Twitter API services. The data was collected between January and October 2021, Indonesia's first period of COVID-19 vaccination, and contained 2,400,414 Indonesian COVID-19 vaccine-related tweets.
 Twitter API services
Noise:  It is possible that there could be noise or potential bias in the data source, depending on the content of the tweets and the users who are posting them.
Link:  No, I don't know of any link to access the data source.</v>
      </c>
      <c r="E18" s="20" t="str">
        <f>'[10]Results-low'!H41 &amp; CHAR(10) &amp; CHAR(10) &amp;  '[10]Results-low'!H42 &amp; CHAR(10) &amp; CHAR(10) &amp; "Noise: " &amp;  '[10]Results-low'!H43 &amp; CHAR(10) &amp; CHAR(10) &amp; "Link: " &amp; '[10]Results-low'!H44</f>
        <v>Twitter
Twitter API 1
Noise: I don't know
Link: not provided</v>
      </c>
      <c r="F18" s="14" t="s">
        <v>353</v>
      </c>
      <c r="G18" s="32" t="s">
        <v>34</v>
      </c>
      <c r="H18" s="32" t="s">
        <v>34</v>
      </c>
      <c r="I18" s="35"/>
    </row>
    <row r="19" spans="1:9" s="19" customFormat="1" ht="48" x14ac:dyDescent="0.2">
      <c r="A19" s="150"/>
      <c r="B19" s="31" t="s">
        <v>60</v>
      </c>
      <c r="C19" s="30" t="s">
        <v>59</v>
      </c>
      <c r="D19" s="20" t="str">
        <f>'[10]Results-low'!F36 &amp; CHAR(10) &amp; CHAR(10) &amp; '[10]Results-low'!F38</f>
        <v xml:space="preserve"> January to October 2021
 Not provided</v>
      </c>
      <c r="E19" s="20" t="str">
        <f>'[10]Results-low'!H36 &amp; CHAR(10) &amp; CHAR(10) &amp; '[10]Results-low'!H38</f>
        <v>January and October 2021
Twitter</v>
      </c>
      <c r="F19" s="14" t="s">
        <v>354</v>
      </c>
      <c r="G19" s="28" t="s">
        <v>34</v>
      </c>
      <c r="H19" s="28" t="s">
        <v>43</v>
      </c>
      <c r="I19" s="35"/>
    </row>
    <row r="20" spans="1:9" s="19" customFormat="1" ht="173" customHeight="1" x14ac:dyDescent="0.2">
      <c r="A20" s="151" t="s">
        <v>58</v>
      </c>
      <c r="B20" s="24" t="s">
        <v>44</v>
      </c>
      <c r="C20" s="23" t="s">
        <v>57</v>
      </c>
      <c r="D20" s="20" t="str">
        <f>'[10]Results-low'!F49</f>
        <v xml:space="preserve"> The data was annotated by three independent analysts using LabelStudio 5. The analysts labeled the data manually and used the majority voting strategy for the final class label. The data was annotated into three classes: favor, against, and neutral for stance labeling, and seven predetermined aspects for aspect-based sentiment labeling, including services, implementation, apps, costs, participants, vaccine products, and general. Each aspect has two possible sentiment values, positive or negative. If a tweet had multi-aspects, the sentiments of the aspects were categorized into one-sentiment information. The analysts applied the majority voting strategy to the final label of the tweet. The Cohen's kappa coefficient was calculated for stance and aspect-based sentiment labels to evaluate the agreement between analysts.</v>
      </c>
      <c r="E20" s="20" t="str">
        <f>'[10]Results-low'!H49</f>
        <v>Three independent analysts annotated the sample data with a majority voting strategy for the final label.</v>
      </c>
      <c r="F20" s="14" t="s">
        <v>355</v>
      </c>
      <c r="G20" s="32" t="s">
        <v>34</v>
      </c>
      <c r="H20" s="32" t="s">
        <v>34</v>
      </c>
      <c r="I20" s="35"/>
    </row>
    <row r="21" spans="1:9" s="19" customFormat="1" ht="57" customHeight="1" x14ac:dyDescent="0.2">
      <c r="A21" s="152"/>
      <c r="B21" s="24" t="s">
        <v>56</v>
      </c>
      <c r="C21" s="23" t="s">
        <v>55</v>
      </c>
      <c r="D21" s="20" t="str">
        <f>'[10]Results-low'!F50</f>
        <v xml:space="preserve"> Content and textual categorization</v>
      </c>
      <c r="E21" s="20" t="str">
        <f>'[10]Results-low'!H50</f>
        <v>Image and video annotations</v>
      </c>
      <c r="F21" s="14" t="s">
        <v>356</v>
      </c>
      <c r="G21" s="28" t="s">
        <v>34</v>
      </c>
      <c r="H21" s="28" t="s">
        <v>42</v>
      </c>
      <c r="I21" s="26" t="s">
        <v>96</v>
      </c>
    </row>
    <row r="22" spans="1:9" s="19" customFormat="1" ht="86" customHeight="1" x14ac:dyDescent="0.2">
      <c r="A22" s="152"/>
      <c r="B22" s="24" t="s">
        <v>54</v>
      </c>
      <c r="C22" s="23" t="s">
        <v>53</v>
      </c>
      <c r="D22" s="20" t="str">
        <f>'[10]Results-low'!F51</f>
        <v xml:space="preserve"> The dataset contains six columns (id, user_id, community, aspect_category, aspect_sentiment, stance). The labels are: 
id: a unique identifier for each tweet
user_id: a unique identifier for each user
community: a user community detected using Louvain modularity
aspect_category: a predetermined category of aspects concerning the target
aspect_sentiment: two possible sentiment values for each aspect category: positive and negative
stance: three predefined labels of stance: favor, against, and neutral.</v>
      </c>
      <c r="E22" s="20" t="str">
        <f>'[10]Results-low'!H51</f>
        <v>stance, aspect_category, aspect_sentiment, community</v>
      </c>
      <c r="F22" s="89" t="s">
        <v>357</v>
      </c>
      <c r="G22" s="25" t="s">
        <v>34</v>
      </c>
      <c r="H22" s="25" t="s">
        <v>34</v>
      </c>
      <c r="I22" s="26" t="s">
        <v>96</v>
      </c>
    </row>
    <row r="23" spans="1:9" s="19" customFormat="1" ht="166" customHeight="1" x14ac:dyDescent="0.2">
      <c r="A23" s="152"/>
      <c r="B23" s="24" t="s">
        <v>52</v>
      </c>
      <c r="C23" s="23" t="s">
        <v>51</v>
      </c>
      <c r="D23" s="20" t="str">
        <f>'[10]Results-low'!F52 &amp; CHAR(10) &amp; CHAR(10) &amp; "Type:" &amp;'[10]Results-low'!F53 &amp; CHAR(10) &amp; CHAR(10) &amp; "Demographics:" &amp;'[10]Results-low'!F54</f>
        <v xml:space="preserve"> Three independent analysts annotated the sample data with a majority voting strategy for the final label. The three independent analysts were two researchers in natural language processing (one MSc-level and one BSc-level) and one communication science expert (BSc-level).
Type: An internal team. Three independent analysts—two researchers in natural language processing (one MSc-level and one BSc-level) and one communication science expert (BSc-level)—labeled the data manually and used the majority voting strategy for the final class label.
Demographics: No, there is no demographic information about the team who annotate the data.</v>
      </c>
      <c r="E23" s="20" t="str">
        <f>'[10]Results-low'!H52 &amp; CHAR(10) &amp; CHAR(10) &amp; "Type:" &amp;'[10]Results-low'!H53 &amp; CHAR(10) &amp; CHAR(10) &amp; "Demographics:" &amp;'[10]Results-low'!H54</f>
        <v>Three independent analysts
Type:Three independent analysts
Demographics:No</v>
      </c>
      <c r="F23" s="14" t="s">
        <v>358</v>
      </c>
      <c r="G23" s="28" t="s">
        <v>34</v>
      </c>
      <c r="H23" s="28" t="s">
        <v>34</v>
      </c>
      <c r="I23" s="26"/>
    </row>
    <row r="24" spans="1:9" s="19" customFormat="1" ht="123" customHeight="1" x14ac:dyDescent="0.2">
      <c r="A24" s="152"/>
      <c r="B24" s="24" t="s">
        <v>49</v>
      </c>
      <c r="C24" s="23" t="s">
        <v>48</v>
      </c>
      <c r="D24" s="20" t="str">
        <f>'[10]Results-low'!F55</f>
        <v xml:space="preserve"> LabelStudio 5 was used to annotate the dataset.</v>
      </c>
      <c r="E24" s="20" t="str">
        <f>'[10]Results-low'!H55</f>
        <v>LabelStudio 5</v>
      </c>
      <c r="F24" s="14" t="s">
        <v>359</v>
      </c>
      <c r="G24" s="32" t="s">
        <v>34</v>
      </c>
      <c r="H24" s="32" t="s">
        <v>34</v>
      </c>
      <c r="I24" s="33" t="s">
        <v>96</v>
      </c>
    </row>
    <row r="25" spans="1:9" s="19" customFormat="1" ht="18" customHeight="1" x14ac:dyDescent="0.2">
      <c r="A25" s="152"/>
      <c r="B25" s="24" t="s">
        <v>46</v>
      </c>
      <c r="C25" s="23" t="s">
        <v>45</v>
      </c>
      <c r="D25" s="20" t="str">
        <f>'[10]Results-low'!F56</f>
        <v xml:space="preserve"> Five machine-learning models, including Naïve Bayes (NB), K-Nearest Neighbor (KNN), Decision Tree (DT), Support Vector Machine (SVM), and Random Forest (RF), were implemented using sklearn 7 with default parameters. Meanwhile, four deep learning models, including Gated Recurrent Unit (GRU), Bidirectional GRU (BiGRU), Long Short-Term Memory (LSTM), and Bidirectional LSTM (BiLSTM), were applied using Keras 8 and adopted modest neural network architecture. The study applied Word2Vec as a word-embedding model as text representations for machine learning and deep learning models. We used pre-trained word embeddings that trained on 467,000 documents of Indonesian Wikipedia for 300-dimensional word representation. Each model was evaluated using 5-fold cross-validation to use 80% for learning and 20% of labeled data for testing the model. Cohen's kappa coefficient for stance and Krippendorff's Alpha of 0.5187 for the aspect-based sentiment label were also calculated to evaluate the agreement between analysts.</v>
      </c>
      <c r="E25" s="20" t="str">
        <f>'[10]Results-low'!H56</f>
        <v>Five machine learning and four sequential-based deep learning models</v>
      </c>
      <c r="F25" s="14" t="s">
        <v>360</v>
      </c>
      <c r="G25" s="28" t="s">
        <v>42</v>
      </c>
      <c r="H25" s="28" t="s">
        <v>42</v>
      </c>
      <c r="I25" s="26" t="s">
        <v>269</v>
      </c>
    </row>
    <row r="26" spans="1:9" s="19" customFormat="1" ht="272" x14ac:dyDescent="0.2">
      <c r="A26" s="148" t="s">
        <v>41</v>
      </c>
      <c r="B26" s="24" t="s">
        <v>40</v>
      </c>
      <c r="C26" s="23" t="s">
        <v>39</v>
      </c>
      <c r="D26" s="20" t="str">
        <f>'[10]Results-low'!F82</f>
        <v xml:space="preserve"> No, the authors declared that they have no known competing financial interests or personal relationships that could have appeared to influence the work reported in this paper. The authors also used a majority voting strategy for the final class label and calculated Cohen's kappa coefficient for stance and aspect-based sentiment labels to evaluate the agreement between analysts.</v>
      </c>
      <c r="E26" s="20" t="str">
        <f>'[10]Results-low'!H82</f>
        <v>The authors declare that they have no known competing financial interests or personal relationships that could have appeared to influence the work reported in this paper.</v>
      </c>
      <c r="F26" s="14" t="s">
        <v>361</v>
      </c>
      <c r="G26" s="28" t="s">
        <v>34</v>
      </c>
      <c r="H26" s="28" t="s">
        <v>34</v>
      </c>
      <c r="I26" s="26" t="s">
        <v>96</v>
      </c>
    </row>
    <row r="27" spans="1:9" s="19" customFormat="1" ht="128" x14ac:dyDescent="0.2">
      <c r="A27" s="148"/>
      <c r="B27" s="27" t="s">
        <v>38</v>
      </c>
      <c r="C27" s="23" t="s">
        <v>37</v>
      </c>
      <c r="D27" s="20" t="str">
        <f>'[10]Results-low'!F74 &amp; CHAR(10) &amp; '[10]Results-low'!F75 &amp; CHAR(10) &amp; CHAR(10)  &amp; "Sensitivity: " &amp; '[10]Results-low'!F76</f>
        <v xml:space="preserve"> Lemmatization is a process of reducing words to their base form. It is used to reduce inflectional forms of a word to a common base form. It is commonly used in natural language processing to reduce words to their dictionary form. It is used to reduce the complexity of language and to make it easier to process.
 Data Normalization
Sensitivity: Stopword Removal</v>
      </c>
      <c r="E27" s="20" t="str">
        <f>'[10]Results-low'!H74 &amp; CHAR(10) &amp; '[10]Results-low'!H75 &amp; CHAR(10) &amp; CHAR(10)  &amp; "Sensitivity: " &amp; '[10]Results-low'!H76</f>
        <v xml:space="preserve">
Sensitivity: </v>
      </c>
      <c r="F27" s="89" t="s">
        <v>362</v>
      </c>
      <c r="G27" s="25" t="s">
        <v>34</v>
      </c>
      <c r="H27" s="25" t="s">
        <v>34</v>
      </c>
      <c r="I27" s="26"/>
    </row>
    <row r="28" spans="1:9" s="19" customFormat="1" ht="96" x14ac:dyDescent="0.2">
      <c r="A28" s="148"/>
      <c r="B28" s="24" t="s">
        <v>36</v>
      </c>
      <c r="C28" s="23" t="s">
        <v>35</v>
      </c>
      <c r="D28" s="20" t="str">
        <f>'[10]Results-low'!F86</f>
        <v xml:space="preserve"> No, the data was collected and distributed under the Twitter developer policy 2022 and followed its regulations. The authors also declared that they have no known competing financial interests or personal relationships that could have appeared to influence the work reported in this paper. The data was also collected and processed to ensure anonymity and protect Twitter users.</v>
      </c>
      <c r="E28" s="20" t="str">
        <f>'[10]Results-low'!H86</f>
        <v>Our data were collected, scraped, and distributed under the Twitter developer policy 2022 and followed its regulations</v>
      </c>
      <c r="F28" s="14" t="s">
        <v>363</v>
      </c>
      <c r="G28" s="21" t="s">
        <v>34</v>
      </c>
      <c r="H28" s="21" t="s">
        <v>34</v>
      </c>
      <c r="I28" s="22" t="s">
        <v>96</v>
      </c>
    </row>
    <row r="29" spans="1:9" ht="26" customHeight="1" x14ac:dyDescent="0.2">
      <c r="F29" s="14" t="s">
        <v>364</v>
      </c>
      <c r="H29" s="176" t="s">
        <v>334</v>
      </c>
      <c r="I29" s="177">
        <v>75</v>
      </c>
    </row>
    <row r="30" spans="1:9" ht="68" x14ac:dyDescent="0.2">
      <c r="F30" s="14" t="s">
        <v>365</v>
      </c>
    </row>
  </sheetData>
  <mergeCells count="7">
    <mergeCell ref="A26:A28"/>
    <mergeCell ref="A2:A4"/>
    <mergeCell ref="A5:A7"/>
    <mergeCell ref="A8:A10"/>
    <mergeCell ref="A11:A13"/>
    <mergeCell ref="A14:A19"/>
    <mergeCell ref="A20:A25"/>
  </mergeCells>
  <conditionalFormatting sqref="G73:H84 G2:H28">
    <cfRule type="containsText" dxfId="23" priority="5" operator="containsText" text="Fair">
      <formula>NOT(ISERROR(SEARCH("Fair",G2)))</formula>
    </cfRule>
    <cfRule type="containsText" dxfId="22" priority="6" operator="containsText" text="Bad">
      <formula>NOT(ISERROR(SEARCH("Bad",G2)))</formula>
    </cfRule>
    <cfRule type="containsText" dxfId="21" priority="7" stopIfTrue="1" operator="containsText" text="Good">
      <formula>NOT(ISERROR(SEARCH("Good",G2)))</formula>
    </cfRule>
    <cfRule type="containsText" dxfId="20" priority="8" operator="containsText" text="Hallucinate">
      <formula>NOT(ISERROR(SEARCH("Hallucinate",G2)))</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E6BFA-C017-3E43-87A7-09DC62DB28DD}">
  <dimension ref="A1:I29"/>
  <sheetViews>
    <sheetView topLeftCell="F13" zoomScaleNormal="100" workbookViewId="0">
      <selection activeCell="I1" sqref="I1:I1048576"/>
    </sheetView>
  </sheetViews>
  <sheetFormatPr baseColWidth="10" defaultRowHeight="16" x14ac:dyDescent="0.2"/>
  <cols>
    <col min="1" max="1" width="27.33203125" style="19" customWidth="1"/>
    <col min="2" max="2" width="37.5" style="18" customWidth="1"/>
    <col min="3" max="3" width="34" style="18" customWidth="1"/>
    <col min="4" max="4" width="57.1640625" style="19" customWidth="1"/>
    <col min="5" max="5" width="57.1640625" style="1" customWidth="1"/>
    <col min="6" max="6" width="53" style="17" customWidth="1"/>
    <col min="7" max="8" width="33.6640625" style="17" customWidth="1"/>
    <col min="9" max="9" width="37.33203125" style="17" customWidth="1"/>
    <col min="10" max="16384" width="10.83203125" style="17"/>
  </cols>
  <sheetData>
    <row r="1" spans="1:9" s="19" customFormat="1" ht="33" customHeight="1" thickBot="1" x14ac:dyDescent="0.25">
      <c r="A1" s="44" t="s">
        <v>9</v>
      </c>
      <c r="B1" s="44" t="s">
        <v>105</v>
      </c>
      <c r="C1" s="44" t="s">
        <v>104</v>
      </c>
      <c r="D1" s="42" t="s">
        <v>103</v>
      </c>
      <c r="E1" s="88" t="s">
        <v>19</v>
      </c>
      <c r="F1" s="42" t="s">
        <v>117</v>
      </c>
      <c r="G1" s="43" t="s">
        <v>101</v>
      </c>
      <c r="H1" s="43" t="s">
        <v>177</v>
      </c>
      <c r="I1" s="43" t="s">
        <v>266</v>
      </c>
    </row>
    <row r="2" spans="1:9" s="19" customFormat="1" ht="260" customHeight="1" thickTop="1" thickBot="1" x14ac:dyDescent="0.25">
      <c r="A2" s="149" t="s">
        <v>99</v>
      </c>
      <c r="B2" s="31" t="s">
        <v>178</v>
      </c>
      <c r="C2" s="30" t="s">
        <v>97</v>
      </c>
      <c r="D2" s="20" t="str">
        <f>"Purposes: "&amp; '[11]Results-low'!F2&amp;CHAR(10)&amp;CHAR(10)&amp;"Gaps: "&amp;'[11]Results-low'!F5 &amp;CHAR(10)&amp;CHAR(10)&amp;"Tasks: "&amp;'[11]Results-low'!F3 &amp;CHAR(10)&amp;CHAR(10)&amp;"Tags: "&amp;'[11]Results-low'!F4</f>
        <v>Purposes:  The purposes of the DeepLontar dataset for handwritten Balinese character detection and syllable recognition on Lontar manuscript dataset are to train and evaluate performance in character detection and syllable recognition of new manuscripts, to store various important information in ancient times, to recognize syllables by combining each character by applying special rules, and to be read and translated by experts.
Gaps:  The DeepLontar dataset intends to fill gaps in data collection, data generation, annotations, and character classes.
Tasks:  object-detection, token-classification, and syllable-recognition
Tags:  Balinese Lontar manuscript, digitization, computer vision, data collection, data annotation, YOLO format, character detection, character recognition, syllable recognition, word recognition, data augmentation, LabelImg, deep learning architecture.</v>
      </c>
      <c r="E2" s="14" t="str">
        <f>"Purposes: "&amp; '[11]Results-low'!G2&amp;CHAR(10)&amp;CHAR(10)&amp;"Gaps: "&amp;'[11]Results-low'!G5 &amp;CHAR(10)&amp;CHAR(10)&amp;"Tasks: "&amp;'[11]Results-low'!G3 &amp;CHAR(10)&amp;CHAR(10)&amp;"Tags: "&amp;'[11]Results-low'!G4</f>
        <v>Purposes: DeepLontar dataset for handwritten Balinese character detection and syllable recognition on Lontar manuscript
Gaps: Balinese Lontar publicly available datasets are available on a very limited basis. Therefore, related research has been carried out for assembling datasets for Balinese Lontar manuscripts.
Tasks: character detection and syllable recognition
Tags: adapative gaussian thresholding, grayscale augmentation, image annotation, lontar manuscript, syllable recognition, yolo</v>
      </c>
      <c r="F2" s="20" t="s">
        <v>226</v>
      </c>
      <c r="G2" s="41" t="s">
        <v>3</v>
      </c>
      <c r="H2" s="41" t="s">
        <v>34</v>
      </c>
      <c r="I2" s="40" t="s">
        <v>96</v>
      </c>
    </row>
    <row r="3" spans="1:9" s="19" customFormat="1" ht="160" customHeight="1" thickTop="1" thickBot="1" x14ac:dyDescent="0.25">
      <c r="A3" s="150"/>
      <c r="B3" s="31" t="s">
        <v>95</v>
      </c>
      <c r="C3" s="30" t="s">
        <v>94</v>
      </c>
      <c r="D3" s="20" t="str">
        <f>'[11]Results-low'!F7&amp;CHAR(10)&amp;CHAR(10)&amp;'[11]Results-low'!F8</f>
        <v xml:space="preserve"> The DeepLontar dataset can be used to train and evaluate performance in character detection and syllable recognition of new manuscripts. The images data are available at Figshare repository15 and data augmentation code are available using OpenCV library. Data annotation tool using LabelImg is available online16.
 No, there is no non-recommended application for the DeepLontar dataset.</v>
      </c>
      <c r="E3" s="14" t="str">
        <f>'[11]Results-low'!G7&amp;CHAR(10)&amp;CHAR(10)&amp;'[11]Results-low'!G8</f>
        <v>Balinese character detection and syllable recognition
no</v>
      </c>
      <c r="F3" s="20" t="s">
        <v>227</v>
      </c>
      <c r="G3" s="41" t="s">
        <v>3</v>
      </c>
      <c r="H3" s="28" t="s">
        <v>34</v>
      </c>
      <c r="I3" s="39" t="s">
        <v>96</v>
      </c>
    </row>
    <row r="4" spans="1:9" s="19" customFormat="1" ht="133" customHeight="1" thickTop="1" thickBot="1" x14ac:dyDescent="0.25">
      <c r="A4" s="150"/>
      <c r="B4" s="31" t="s">
        <v>93</v>
      </c>
      <c r="C4" s="30" t="s">
        <v>92</v>
      </c>
      <c r="D4" s="20" t="str">
        <f>'[11]Results-low'!F9</f>
        <v xml:space="preserve"> YOLO</v>
      </c>
      <c r="E4" s="14" t="str">
        <f>'[11]Results-low'!G9</f>
        <v xml:space="preserve"> YOLOv4: mean average precision (mAP) of up to 99.55% with precision, recall, and F1-score are 99%, 100%, and 99%, respectively</v>
      </c>
      <c r="F4" s="20" t="s">
        <v>228</v>
      </c>
      <c r="G4" s="41" t="s">
        <v>3</v>
      </c>
      <c r="H4" s="32" t="s">
        <v>34</v>
      </c>
      <c r="I4" s="40" t="s">
        <v>96</v>
      </c>
    </row>
    <row r="5" spans="1:9" s="19" customFormat="1" ht="36" thickTop="1" thickBot="1" x14ac:dyDescent="0.25">
      <c r="A5" s="151" t="s">
        <v>91</v>
      </c>
      <c r="B5" s="24" t="s">
        <v>90</v>
      </c>
      <c r="C5" s="23" t="s">
        <v>89</v>
      </c>
      <c r="D5" s="20" t="str">
        <f>'[11]Results-low'!F11</f>
        <v xml:space="preserve"> Daniel Siahaan, Ni Putu Sutramiani, Nanik Suciati, I Nengah Duija, and I Wayan Agus Surya Darma.</v>
      </c>
      <c r="E5" s="14" t="str">
        <f>'[11]Results-low'!G11</f>
        <v>Daniel Siahaan , Ni Putu Sutramiani, Nanik Suciati, I Nengah Duija, I Wayan Agus Surya Darma</v>
      </c>
      <c r="F5" s="19" t="s">
        <v>229</v>
      </c>
      <c r="G5" s="41" t="s">
        <v>3</v>
      </c>
      <c r="H5" s="32" t="s">
        <v>34</v>
      </c>
      <c r="I5" s="40" t="s">
        <v>96</v>
      </c>
    </row>
    <row r="6" spans="1:9" s="19" customFormat="1" ht="121" thickTop="1" thickBot="1" x14ac:dyDescent="0.25">
      <c r="A6" s="152"/>
      <c r="B6" s="24" t="s">
        <v>29</v>
      </c>
      <c r="C6" s="23" t="s">
        <v>88</v>
      </c>
      <c r="D6" s="20" t="str">
        <f>'[11]Results-low'!F12 &amp; CHAR(10) &amp; CHAR(10) &amp; "Type:" &amp; '[11]Results-low'!F13  &amp; CHAR(10) &amp; CHAR(10) &amp; "Grants ID:" &amp; '[11]Results-low'!F15</f>
        <v xml:space="preserve"> The Directorate General of Higher Education, Ministry of Education and Culture Republic of Indonesia
Type: Public
Grants ID: 1564/PKS/ITS/2022</v>
      </c>
      <c r="E6" s="14" t="str">
        <f>'[11]Results-low'!G12 &amp; CHAR(10) &amp; CHAR(10) &amp; "Type:" &amp; '[11]Results-low'!G13  &amp; CHAR(10) &amp; CHAR(10) &amp; "Grants ID:" &amp; '[11]Results-low'!G14</f>
        <v>The study is supported by the Directorate General of Higher Education, Ministry of Education and Culture Republic of Indonesia under grant number 1564/PKS/ITS/2022.
Type:public
Grants ID:1564/PKS/ITS/2022</v>
      </c>
      <c r="F6" s="20" t="s">
        <v>230</v>
      </c>
      <c r="G6" s="41" t="s">
        <v>3</v>
      </c>
      <c r="H6" s="28" t="s">
        <v>34</v>
      </c>
      <c r="I6" s="40" t="s">
        <v>96</v>
      </c>
    </row>
    <row r="7" spans="1:9" s="19" customFormat="1" ht="302" customHeight="1" thickTop="1" thickBot="1" x14ac:dyDescent="0.25">
      <c r="A7" s="152"/>
      <c r="B7" s="24" t="s">
        <v>87</v>
      </c>
      <c r="C7" s="23" t="s">
        <v>86</v>
      </c>
      <c r="D7" s="20" t="str">
        <f>'[11]Results-low'!F16 &amp; CHAR(10) &amp; CHAR(10) &amp; "Contribution guidelines:" &amp; '[11]Results-low'!F17  &amp; CHAR(10) &amp; CHAR(10) &amp; "Erratum:" &amp; '[11]Results-low'!F18 &amp; CHAR(10) &amp; CHAR(10) &amp; "Data Retention:" &amp; '[11]Results-low'!F19</f>
        <v xml:space="preserve"> Daniel Siahaan, Ni Putu Sutramiani, Nanik Suciati, I Nengah Duija, and I Wayan Agus Surya Darma are the maintainers of the DeepLontar dataset for handwritten Balinese character detection and syllable recognition on Lontar manuscript dataset.
Contribution guidelines: The DeepLontar dataset is freely accessible to researchers at Figshare15. The images data are available at Figshare repository15 and data augmentation code are available using OpenCV library. Data annotation tool using LabelImg is available online16.
Erratum: No, there is no data retention limit in the DeepLontar dataset.
Data Retention: No, there is no data retention policy for the DeepLontar dataset.</v>
      </c>
      <c r="E7" s="14" t="str">
        <f>'[11]Results-low'!G14 &amp; CHAR(10) &amp; CHAR(10) &amp; "Contribution guidelines:" &amp; '[11]Results-low'!G15  &amp; CHAR(10) &amp; CHAR(10) &amp; "Erratum:" &amp; '[11]Results-low'!G16 &amp; CHAR(10) &amp; CHAR(10) &amp; "Data Retention:" &amp; '[11]Results-low'!G17</f>
        <v>1564/PKS/ITS/2022
Contribution guidelines:Daniel Siahaan , Ni Putu Sutramiani, Nanik Suciati, I Nengah Duija, I Wayan Agus Surya Darma
Erratum:no
Data Retention:no</v>
      </c>
      <c r="F7" s="20" t="s">
        <v>96</v>
      </c>
      <c r="G7" s="41" t="s">
        <v>34</v>
      </c>
      <c r="H7" s="32" t="s">
        <v>34</v>
      </c>
      <c r="I7" s="39" t="s">
        <v>96</v>
      </c>
    </row>
    <row r="8" spans="1:9" s="19" customFormat="1" ht="50" thickTop="1" thickBot="1" x14ac:dyDescent="0.25">
      <c r="A8" s="153" t="s">
        <v>85</v>
      </c>
      <c r="B8" s="31" t="s">
        <v>31</v>
      </c>
      <c r="C8" s="30" t="s">
        <v>83</v>
      </c>
      <c r="D8" s="20" t="str">
        <f>'[11]Results-low'!F20</f>
        <v xml:space="preserve"> Yes, the data is available at Figshare repository15.</v>
      </c>
      <c r="E8" s="14" t="str">
        <f>'[11]Results-low'!G18</f>
        <v>no</v>
      </c>
      <c r="F8" s="20" t="s">
        <v>231</v>
      </c>
      <c r="G8" s="41" t="s">
        <v>34</v>
      </c>
      <c r="H8" s="28" t="s">
        <v>42</v>
      </c>
      <c r="I8" s="39" t="s">
        <v>96</v>
      </c>
    </row>
    <row r="9" spans="1:9" s="19" customFormat="1" ht="367" thickTop="1" thickBot="1" x14ac:dyDescent="0.25">
      <c r="A9" s="150"/>
      <c r="B9" s="31" t="s">
        <v>82</v>
      </c>
      <c r="C9" s="30" t="s">
        <v>81</v>
      </c>
      <c r="D9" s="20" t="str">
        <f>"License: "&amp; '[11]Results-low'!F21 &amp; CHAR(10) &amp; CHAR(10)
&amp; "Thid-parties in-charge: "&amp; '[11]Results-low'!F22 &amp; CHAR(10) &amp; CHAR(10)
&amp; "Attribution notice: "&amp; '[11]Results-low'!F23 &amp; CHAR(10) &amp; CHAR(10)
&amp; "Data Stand-alone:" &amp; '[11]Results-low'!F24  &amp; CHAR(10) &amp; CHAR(10) &amp; "Model trained with the data:" &amp; '[11]Results-low'!F22</f>
        <v>License:  The DeepLontar dataset is freely accessible to the researchers at Figshare15.
Thid-parties in-charge:  The DeepLontar dataset is freely accessible to researchers and is licensed under a Creative Commons Attribution 4.0 International License, which permits use, sharing, adaptation, distribution and reproduction in any medium or format, as long as appropriate credit is given to the original author(s) and the source.
Attribution notice:  The models trained with this data have the right to be used, shared, adapted, distributed, and reproduced in any medium or format, as long as appropriate credit is given to the original author(s) and the source, a link to the Creative Commons license is provided, and any changes are indicated.
Data Stand-alone: Yes, the authors of the dataset provide an attribution notice and credits in the Usage Notes section.
Model trained with the data: The DeepLontar dataset is freely accessible to researchers and is licensed under a Creative Commons Attribution 4.0 International License, which permits use, sharing, adaptation, distribution and reproduction in any medium or format, as long as appropriate credit is given to the original author(s) and the source.</v>
      </c>
      <c r="E9" s="14" t="str">
        <f>"License: "&amp; '[11]Results-low'!G19 &amp; CHAR(10) &amp; CHAR(10)
&amp; "Thid-parties in-charge: "&amp; '[11]Results-low'!G24 &amp; CHAR(10) &amp; CHAR(10)
&amp; "Attribution notice: "&amp; '[11]Results-low'!G23 &amp; CHAR(10) &amp; CHAR(10)
&amp; "Data Stand-alone:" &amp; '[11]Results-low'!G21  &amp; CHAR(10) &amp; CHAR(10) &amp; "Model trained with the data:" &amp; '[11]Results-low'!G22</f>
        <v>License: yes
Thid-parties in-charge: This article is licensed under a Creative Commons Attribution 4.0 International License
Attribution notice: This article is licensed under a Creative Commons Attribution 4.0 International License
Data Stand-alone:Creative Commons Attribution 4.0 International License
Model trained with the data:This article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v>
      </c>
      <c r="F9" s="20" t="s">
        <v>232</v>
      </c>
      <c r="G9" s="41" t="s">
        <v>7</v>
      </c>
      <c r="H9" s="32" t="s">
        <v>7</v>
      </c>
      <c r="I9" s="37" t="s">
        <v>269</v>
      </c>
    </row>
    <row r="10" spans="1:9" s="19" customFormat="1" ht="34" thickTop="1" thickBot="1" x14ac:dyDescent="0.25">
      <c r="A10" s="150"/>
      <c r="B10" s="31" t="s">
        <v>33</v>
      </c>
      <c r="C10" s="30" t="s">
        <v>80</v>
      </c>
      <c r="D10" s="29"/>
      <c r="E10" s="89" t="str">
        <f>'[11]Results-low'!G25</f>
        <v>No</v>
      </c>
      <c r="F10" s="29" t="s">
        <v>96</v>
      </c>
      <c r="G10" s="41" t="s">
        <v>96</v>
      </c>
      <c r="H10" s="28" t="s">
        <v>34</v>
      </c>
      <c r="I10" s="37" t="s">
        <v>96</v>
      </c>
    </row>
    <row r="11" spans="1:9" s="19" customFormat="1" ht="226" thickTop="1" thickBot="1" x14ac:dyDescent="0.25">
      <c r="A11" s="152" t="s">
        <v>77</v>
      </c>
      <c r="B11" s="24" t="s">
        <v>76</v>
      </c>
      <c r="C11" s="23" t="s">
        <v>75</v>
      </c>
      <c r="D11" s="20" t="str">
        <f>"Files:" &amp;'[11]Results-low'!F29 &amp; CHAR(10) &amp; CHAR(10) &amp; "Attributes:" &amp; '[11]Results-low'!F31</f>
        <v>Files: The DeepLontar dataset is composed of 600 JPEG images and 600 TXT annotation files. The JPEG images are named in the format &lt;filename&gt;.jpg, for example 1a.jpg. The TXT annotation files are named in the format &lt;filename&gt;.txt, for example 1a.txt. The annotation files follow the YOLO format, which includes an ID, x coordinate, y coordinate, width of the bounding box, and height of the bounding box.
Attributes: The DeepLontar dataset consists of 600 images of Balinese Lontar manuscripts and 600 *.txt files that store information related to data annotations in YOLO format. The annotations consist of more than 100,000 characters that experts have validated. The annotation files follow the YOLO format, which includes an ID, x coordinate, y coordinate, width of the bounding box, and height of the bounding box. The dataset also includes 55 Balinese character classes.</v>
      </c>
      <c r="E11" s="14" t="str">
        <f>"Files:" &amp;'[11]Results-low'!G27 &amp; CHAR(10) &amp; CHAR(10) &amp; "Attributes:" &amp; '[11]Results-low'!G28</f>
        <v>Files:.jpg, .txt
Attributes:DeepLontar consisted of 600 images of Balinese Lontar manuscripts and additionally, 600 *.txt files that stored information related to data annotations in YOLO format.</v>
      </c>
      <c r="F11" s="20" t="s">
        <v>233</v>
      </c>
      <c r="G11" s="41" t="s">
        <v>3</v>
      </c>
      <c r="H11" s="32" t="s">
        <v>34</v>
      </c>
      <c r="I11" s="37" t="s">
        <v>96</v>
      </c>
    </row>
    <row r="12" spans="1:9" s="19" customFormat="1" ht="36" thickTop="1" thickBot="1" x14ac:dyDescent="0.25">
      <c r="A12" s="152"/>
      <c r="B12" s="24" t="s">
        <v>74</v>
      </c>
      <c r="C12" s="23" t="s">
        <v>73</v>
      </c>
      <c r="D12" s="20" t="str">
        <f>'[11]Results-low'!F34</f>
        <v xml:space="preserve"> No, there is no recommended data split mentioned in the context.</v>
      </c>
      <c r="E12" s="14" t="str">
        <f>'[11]Results-low'!G34</f>
        <v>The original dataset was split into train and test data with distribution ratio of 60%:40%</v>
      </c>
      <c r="F12" s="20" t="s">
        <v>260</v>
      </c>
      <c r="G12" s="41" t="s">
        <v>3</v>
      </c>
      <c r="H12" s="32" t="s">
        <v>34</v>
      </c>
      <c r="I12" s="37" t="s">
        <v>96</v>
      </c>
    </row>
    <row r="13" spans="1:9" s="19" customFormat="1" ht="58" customHeight="1" thickTop="1" thickBot="1" x14ac:dyDescent="0.25">
      <c r="A13" s="152"/>
      <c r="B13" s="24" t="s">
        <v>187</v>
      </c>
      <c r="C13" s="23" t="s">
        <v>188</v>
      </c>
      <c r="D13" s="20" t="str">
        <f>'[11]Results-low'!F33&amp;  CHAR(10)</f>
        <v xml:space="preserve"> No, the data does not have any explicit consistency rule.
</v>
      </c>
      <c r="E13" s="14" t="str">
        <f>'[11]Results-low'!G31 &amp;  CHAR(10) &amp; CHAR(10) &amp; '[11]Results-low'!G30</f>
        <v xml:space="preserve"> 
DeepLontar consists of 55 Balinese character classes. These classes are used in writing Balinese script in Lontar Manuscripts. The entire vocabulary in the DeepLontar dataset uses these 55-character classes.</v>
      </c>
      <c r="F13" s="20" t="s">
        <v>261</v>
      </c>
      <c r="G13" s="41" t="s">
        <v>34</v>
      </c>
      <c r="H13" s="28" t="s">
        <v>43</v>
      </c>
      <c r="I13" s="37"/>
    </row>
    <row r="14" spans="1:9" s="19" customFormat="1" ht="191" customHeight="1" thickTop="1" thickBot="1" x14ac:dyDescent="0.25">
      <c r="A14" s="153" t="s">
        <v>70</v>
      </c>
      <c r="B14" s="31" t="s">
        <v>44</v>
      </c>
      <c r="C14" s="30" t="s">
        <v>69</v>
      </c>
      <c r="D14" s="20" t="str">
        <f>'[11]Results-low'!F36</f>
        <v xml:space="preserve"> The data was collected from libraries at universities in Bali. Data generation was carried out to produce 400 augmented images from 200 Lontar original images to increase the variousness of data. Annotations were performed to label each character producing over 100,000 characters in 55 character classes.</v>
      </c>
      <c r="E14" s="14" t="str">
        <f>'[11]Results-low'!G36</f>
        <v>The process of compiling the dataset was carried out in four stages. Each stage was shown in Fig. 5, starting with data acquisition, data generation, data annotation, and validation. The first stage was data acquisition by scanning the Lontar manuscript using a scanner.</v>
      </c>
      <c r="F14" s="20" t="s">
        <v>234</v>
      </c>
      <c r="G14" s="41" t="s">
        <v>34</v>
      </c>
      <c r="H14" s="28" t="s">
        <v>42</v>
      </c>
      <c r="I14" s="87" t="s">
        <v>96</v>
      </c>
    </row>
    <row r="15" spans="1:9" s="19" customFormat="1" ht="124" customHeight="1" thickTop="1" thickBot="1" x14ac:dyDescent="0.25">
      <c r="A15" s="150"/>
      <c r="B15" s="31" t="s">
        <v>56</v>
      </c>
      <c r="C15" s="30" t="s">
        <v>68</v>
      </c>
      <c r="D15" s="20" t="str">
        <f>'[11]Results-low'!F37</f>
        <v xml:space="preserve"> Others</v>
      </c>
      <c r="E15" s="14" t="str">
        <f>'[11]Results-low'!G37</f>
        <v>Document analysis</v>
      </c>
      <c r="F15" s="20" t="s">
        <v>235</v>
      </c>
      <c r="G15" s="41" t="s">
        <v>43</v>
      </c>
      <c r="H15" s="28" t="s">
        <v>34</v>
      </c>
      <c r="I15" s="35" t="s">
        <v>96</v>
      </c>
    </row>
    <row r="16" spans="1:9" s="19" customFormat="1" ht="114" thickTop="1" thickBot="1" x14ac:dyDescent="0.25">
      <c r="A16" s="150"/>
      <c r="B16" s="31" t="s">
        <v>67</v>
      </c>
      <c r="C16" s="30" t="s">
        <v>66</v>
      </c>
      <c r="D16" s="20" t="str">
        <f>'[11]Results-low'!F47 &amp; CHAR(10) &amp; CHAR(10) &amp; "Type: "&amp;  '[11]Results-low'!F48 &amp; CHAR(10) &amp; CHAR(10) &amp; "Demographics: " &amp;  '[11]Results-low'!F49</f>
        <v xml:space="preserve"> The data was gathered by scanning the Lontar manuscript using a scanner.
Type:  An internal team.
Demographics:  No, there is no demographic information of an internal team.</v>
      </c>
      <c r="E16" s="14" t="str">
        <f>'[11]Results-low'!G47 &amp; CHAR(10) &amp; CHAR(10) &amp; "Type: "&amp;  '[11]Results-low'!G48 &amp; CHAR(10) &amp; CHAR(10) &amp; "Demographics: " &amp;  '[11]Results-low'!G49</f>
        <v>Daniel Siahaan , Ni Putu Sutramiani, Nanik Suciati, I Nengah Duija, I Wayan Agus Surya Darma
Type: an internal team
Demographics: No</v>
      </c>
      <c r="F16" s="20" t="s">
        <v>236</v>
      </c>
      <c r="G16" s="41" t="s">
        <v>34</v>
      </c>
      <c r="H16" s="32" t="s">
        <v>34</v>
      </c>
      <c r="I16" s="35" t="s">
        <v>96</v>
      </c>
    </row>
    <row r="17" spans="1:9" s="19" customFormat="1" ht="82" thickTop="1" thickBot="1" x14ac:dyDescent="0.25">
      <c r="A17" s="150"/>
      <c r="B17" s="31" t="s">
        <v>65</v>
      </c>
      <c r="C17" s="30" t="s">
        <v>64</v>
      </c>
      <c r="D17" s="29" t="str">
        <f>'[11]Results-low'!F42</f>
        <v xml:space="preserve"> No, the data represents handwritten Balinese characters and syllables.</v>
      </c>
      <c r="E17" s="89"/>
      <c r="F17" s="29" t="s">
        <v>78</v>
      </c>
      <c r="G17" s="41" t="s">
        <v>34</v>
      </c>
      <c r="H17" s="28"/>
      <c r="I17" s="35" t="s">
        <v>96</v>
      </c>
    </row>
    <row r="18" spans="1:9" s="19" customFormat="1" ht="146" thickTop="1" thickBot="1" x14ac:dyDescent="0.25">
      <c r="A18" s="150"/>
      <c r="B18" s="31" t="s">
        <v>62</v>
      </c>
      <c r="C18" s="30" t="s">
        <v>61</v>
      </c>
      <c r="D18" s="20" t="str">
        <f>'[11]Results-low'!F43 &amp; CHAR(10) &amp; CHAR(10) &amp;  '[11]Results-low'!F44 &amp; CHAR(10) &amp; CHAR(10) &amp; "Noise: " &amp;  '[11]Results-low'!F45 &amp; CHAR(10) &amp; CHAR(10) &amp; "Link: " &amp; '[11]Results-low'!F46</f>
        <v xml:space="preserve"> The source of the data is the Figshare repository.
 The data source is Figshare.
Noise:  It depends on the data set. Figshare is a reliable source, but it's important to check the data set for any noise or potential bias. That Figshare is a reliable source has nothing to do with this work.
Link:  I'm not sure, you may need to contact the source to find out.</v>
      </c>
      <c r="E18" s="14" t="str">
        <f>'[11]Results-low'!G41 &amp; CHAR(10) &amp; CHAR(10) &amp;  '[11]Results-low'!G42 &amp; CHAR(10) &amp; CHAR(10) &amp; "Noise: " &amp;  '[11]Results-low'!G43 &amp; CHAR(10) &amp; CHAR(10) &amp; "Link: " &amp; '[11]Results-low'!G44</f>
        <v xml:space="preserve"> 
Noise: Lontar manuscripts
Link: a scanner</v>
      </c>
      <c r="F18" s="20" t="s">
        <v>237</v>
      </c>
      <c r="G18" s="41" t="s">
        <v>42</v>
      </c>
      <c r="H18" s="32" t="s">
        <v>34</v>
      </c>
      <c r="I18" s="35"/>
    </row>
    <row r="19" spans="1:9" s="19" customFormat="1" ht="66" thickTop="1" thickBot="1" x14ac:dyDescent="0.25">
      <c r="A19" s="150"/>
      <c r="B19" s="31" t="s">
        <v>60</v>
      </c>
      <c r="C19" s="30" t="s">
        <v>59</v>
      </c>
      <c r="D19" s="20" t="str">
        <f>'[11]Results-low'!F38 &amp; CHAR(10) &amp; CHAR(10) &amp; '[11]Results-low'!F40</f>
        <v xml:space="preserve"> The data was collected by scanning the Lontar manuscript using a scanner.
 The data was collected from Lontar manuscripts.</v>
      </c>
      <c r="E19" s="14" t="str">
        <f>'[11]Results-low'!G40 &amp; CHAR(10) &amp; CHAR(10) &amp; '[11]Results-low'!G38</f>
        <v>libraries at universities in Bali
7 July 2022; Accepted: 17 November 2022</v>
      </c>
      <c r="F19" s="20" t="s">
        <v>238</v>
      </c>
      <c r="G19" s="41" t="s">
        <v>42</v>
      </c>
      <c r="H19" s="28" t="s">
        <v>42</v>
      </c>
      <c r="I19" s="35"/>
    </row>
    <row r="20" spans="1:9" s="19" customFormat="1" ht="173" customHeight="1" thickTop="1" thickBot="1" x14ac:dyDescent="0.25">
      <c r="A20" s="151" t="s">
        <v>58</v>
      </c>
      <c r="B20" s="24" t="s">
        <v>44</v>
      </c>
      <c r="C20" s="23" t="s">
        <v>57</v>
      </c>
      <c r="D20" s="20" t="str">
        <f>'[11]Results-low'!F51</f>
        <v xml:space="preserve"> The data of the DeepLontar dataset has been annotated or labelled using the LabelImg application. The Balinese character annotations were validated by experts and stored in YOLO format, which includes the object class ID, x coordinate, y coordinate, width of the bounding box, and height of the bounding box.</v>
      </c>
      <c r="E20" s="14" t="str">
        <f>'[11]Results-low'!G51</f>
        <v>Image annotation was done to label the image, which was used as ground truth. The bounding box was used to annotate each character. This process was carried out by a team and accompanied by experts. Character annotations produced 102,966 characters came from 55 character classes.</v>
      </c>
      <c r="F20" s="20" t="s">
        <v>96</v>
      </c>
      <c r="G20" s="41" t="s">
        <v>34</v>
      </c>
      <c r="H20" s="32" t="s">
        <v>34</v>
      </c>
      <c r="I20" s="35"/>
    </row>
    <row r="21" spans="1:9" s="19" customFormat="1" ht="57" customHeight="1" thickTop="1" thickBot="1" x14ac:dyDescent="0.25">
      <c r="A21" s="152"/>
      <c r="B21" s="24" t="s">
        <v>56</v>
      </c>
      <c r="C21" s="23" t="s">
        <v>55</v>
      </c>
      <c r="D21" s="20" t="str">
        <f>'[11]Results-low'!F52</f>
        <v xml:space="preserve"> Bounding boxes</v>
      </c>
      <c r="E21" s="14" t="str">
        <f>'[11]Results-low'!G52</f>
        <v>Bounding boxes</v>
      </c>
      <c r="F21" s="20" t="s">
        <v>239</v>
      </c>
      <c r="G21" s="41" t="s">
        <v>34</v>
      </c>
      <c r="H21" s="28" t="s">
        <v>34</v>
      </c>
      <c r="I21" s="26" t="s">
        <v>96</v>
      </c>
    </row>
    <row r="22" spans="1:9" s="19" customFormat="1" ht="44" customHeight="1" thickTop="1" thickBot="1" x14ac:dyDescent="0.25">
      <c r="A22" s="152"/>
      <c r="B22" s="24" t="s">
        <v>54</v>
      </c>
      <c r="C22" s="23" t="s">
        <v>53</v>
      </c>
      <c r="D22" s="20" t="str">
        <f>'[11]Results-low'!F53</f>
        <v xml:space="preserve">
The labels of the DeepLontar dataset are 55 Balinese character classes. Table 1 in the context provides a list of the character classes and a description of each one.</v>
      </c>
      <c r="E22" s="14" t="str">
        <f>'[11]Results-low'!G53</f>
        <v>DeepLontar consists of 55 Balinese character classes. These classes are used in writing Balinese script in Lontar Manuscripts. The entire vocabulary in the DeepLontar dataset uses these 55-character classes.</v>
      </c>
      <c r="F22" s="29" t="s">
        <v>130</v>
      </c>
      <c r="G22" s="41" t="s">
        <v>34</v>
      </c>
      <c r="H22" s="25" t="s">
        <v>34</v>
      </c>
      <c r="I22" s="26" t="s">
        <v>96</v>
      </c>
    </row>
    <row r="23" spans="1:9" s="19" customFormat="1" ht="166" customHeight="1" thickTop="1" thickBot="1" x14ac:dyDescent="0.25">
      <c r="A23" s="152"/>
      <c r="B23" s="24" t="s">
        <v>52</v>
      </c>
      <c r="C23" s="23" t="s">
        <v>51</v>
      </c>
      <c r="D23" s="20" t="str">
        <f>'[11]Results-low'!F54 &amp; CHAR(10) &amp; CHAR(10) &amp; "Type:" &amp;'[11]Results-low'!F55 &amp; CHAR(10) &amp; CHAR(10) &amp; "Demographics:" &amp;'[11]Results-low'!F56</f>
        <v xml:space="preserve"> A team of experts and researchers.
Type: An internal team and experts.
Demographics: No, there is no demographic information about the team who annotate the data.</v>
      </c>
      <c r="E23" s="14" t="str">
        <f>'[11]Results-low'!G54 &amp; CHAR(10) &amp; CHAR(10) &amp; "Type:" &amp;'[11]Results-low'!G55 &amp; CHAR(10) &amp; CHAR(10) &amp; "Demographics:" &amp;'[11]Results-low'!G56</f>
        <v>a team and accompanied by experts
Type:an internal team
Demographics:No</v>
      </c>
      <c r="F23" s="20" t="s">
        <v>240</v>
      </c>
      <c r="G23" s="41" t="s">
        <v>34</v>
      </c>
      <c r="H23" s="28" t="s">
        <v>34</v>
      </c>
      <c r="I23" s="26"/>
    </row>
    <row r="24" spans="1:9" s="19" customFormat="1" ht="123" customHeight="1" thickTop="1" thickBot="1" x14ac:dyDescent="0.25">
      <c r="A24" s="152"/>
      <c r="B24" s="24" t="s">
        <v>49</v>
      </c>
      <c r="C24" s="23" t="s">
        <v>48</v>
      </c>
      <c r="D24" s="20" t="str">
        <f>'[11]Results-low'!F57</f>
        <v xml:space="preserve"> LabelImg</v>
      </c>
      <c r="E24" s="14" t="str">
        <f>'[11]Results-low'!G57</f>
        <v>LabelImg</v>
      </c>
      <c r="F24" s="20" t="s">
        <v>241</v>
      </c>
      <c r="G24" s="41" t="s">
        <v>34</v>
      </c>
      <c r="H24" s="32" t="s">
        <v>34</v>
      </c>
      <c r="I24" s="33" t="s">
        <v>96</v>
      </c>
    </row>
    <row r="25" spans="1:9" s="19" customFormat="1" ht="60" customHeight="1" thickTop="1" thickBot="1" x14ac:dyDescent="0.25">
      <c r="A25" s="152"/>
      <c r="B25" s="24" t="s">
        <v>46</v>
      </c>
      <c r="C25" s="23" t="s">
        <v>45</v>
      </c>
      <c r="D25" s="20" t="str">
        <f>'[11]Results-low'!F58</f>
        <v xml:space="preserve"> Validation by experts and testing using YOLO.</v>
      </c>
      <c r="E25" s="14" t="str">
        <f>'[11]Results-low'!G58</f>
        <v>Validation by experts was carried out when making ground truth of Balinese characters in Lontar manuscripts. The second validation was a trial with detecting and recognizing Balinese characters using YOLO.</v>
      </c>
      <c r="F25" s="20" t="s">
        <v>242</v>
      </c>
      <c r="G25" s="41" t="s">
        <v>34</v>
      </c>
      <c r="H25" s="28" t="s">
        <v>34</v>
      </c>
      <c r="I25" s="26"/>
    </row>
    <row r="26" spans="1:9" s="19" customFormat="1" ht="34" thickTop="1" thickBot="1" x14ac:dyDescent="0.25">
      <c r="A26" s="148" t="s">
        <v>41</v>
      </c>
      <c r="B26" s="24" t="s">
        <v>40</v>
      </c>
      <c r="C26" s="23" t="s">
        <v>39</v>
      </c>
      <c r="D26" s="20" t="str">
        <f>'[11]Results-low'!F69</f>
        <v xml:space="preserve"> No, the data was validated by experts and tested using a deep learning method, YOLO, to ensure accuracy and fairness.</v>
      </c>
      <c r="E26" s="14">
        <f>'[11]Results-low'!G75</f>
        <v>0</v>
      </c>
      <c r="F26" s="20" t="s">
        <v>78</v>
      </c>
      <c r="G26" s="41" t="s">
        <v>34</v>
      </c>
      <c r="H26" s="28" t="s">
        <v>34</v>
      </c>
      <c r="I26" s="26" t="s">
        <v>96</v>
      </c>
    </row>
    <row r="27" spans="1:9" s="19" customFormat="1" ht="66" thickTop="1" thickBot="1" x14ac:dyDescent="0.25">
      <c r="A27" s="148"/>
      <c r="B27" s="24" t="s">
        <v>190</v>
      </c>
      <c r="C27" s="23" t="s">
        <v>191</v>
      </c>
      <c r="D27" s="20" t="str">
        <f>'[11]Results-low'!F70 &amp; CHAR(10) &amp; '[11]Results-low'!F71</f>
        <v xml:space="preserve"> No, there are no social groups that could be misrepresented in the dataset.
 No, there are no sensitive data or data that can be offensive for people in the dataset.</v>
      </c>
      <c r="E27" s="14" t="str">
        <f>'[11]Results-low'!G76 &amp; CHAR(10) &amp; '[11]Results-low'!G77 &amp; "Sensitivity: " &amp; '[11]Results-low'!G78</f>
        <v xml:space="preserve">
Sensitivity: </v>
      </c>
      <c r="F27" s="20" t="s">
        <v>78</v>
      </c>
      <c r="G27" s="41" t="s">
        <v>34</v>
      </c>
      <c r="H27" s="25" t="s">
        <v>34</v>
      </c>
      <c r="I27" s="26"/>
    </row>
    <row r="28" spans="1:9" s="19" customFormat="1" ht="17" thickTop="1" x14ac:dyDescent="0.2">
      <c r="A28" s="148"/>
      <c r="B28" s="24" t="s">
        <v>36</v>
      </c>
      <c r="C28" s="23" t="s">
        <v>35</v>
      </c>
      <c r="D28" s="20" t="str">
        <f>'[11]Results-low'!F72</f>
        <v xml:space="preserve"> No, there are no privacy issues on the data.</v>
      </c>
      <c r="E28" s="14">
        <f>'[11]Results-low'!G79</f>
        <v>0</v>
      </c>
      <c r="F28" s="20" t="s">
        <v>78</v>
      </c>
      <c r="G28" s="41" t="s">
        <v>34</v>
      </c>
      <c r="H28" s="21" t="s">
        <v>34</v>
      </c>
      <c r="I28" s="22" t="s">
        <v>96</v>
      </c>
    </row>
    <row r="29" spans="1:9" ht="14" customHeight="1" x14ac:dyDescent="0.2">
      <c r="I29" s="22" t="s">
        <v>96</v>
      </c>
    </row>
  </sheetData>
  <mergeCells count="7">
    <mergeCell ref="A20:A25"/>
    <mergeCell ref="A26:A28"/>
    <mergeCell ref="A2:A4"/>
    <mergeCell ref="A5:A7"/>
    <mergeCell ref="A8:A10"/>
    <mergeCell ref="A11:A13"/>
    <mergeCell ref="A14:A19"/>
  </mergeCells>
  <conditionalFormatting sqref="H73:H80 G2:H28">
    <cfRule type="containsText" dxfId="19" priority="28" operator="containsText" text="Fair">
      <formula>NOT(ISERROR(SEARCH("Fair",G2)))</formula>
    </cfRule>
    <cfRule type="containsText" dxfId="18" priority="29" operator="containsText" text="Bad">
      <formula>NOT(ISERROR(SEARCH("Bad",G2)))</formula>
    </cfRule>
    <cfRule type="containsText" dxfId="17" priority="30" stopIfTrue="1" operator="containsText" text="Good">
      <formula>NOT(ISERROR(SEARCH("Good",G2)))</formula>
    </cfRule>
    <cfRule type="containsText" dxfId="16" priority="31" operator="containsText" text="Hallucinate">
      <formula>NOT(ISERROR(SEARCH("Hallucinate",G2)))</formula>
    </cfRule>
  </conditionalFormatting>
  <conditionalFormatting sqref="H81:H84">
    <cfRule type="containsText" dxfId="15" priority="24" operator="containsText" text="Fair">
      <formula>NOT(ISERROR(SEARCH("Fair",H81)))</formula>
    </cfRule>
    <cfRule type="containsText" dxfId="14" priority="25" operator="containsText" text="Bad">
      <formula>NOT(ISERROR(SEARCH("Bad",H81)))</formula>
    </cfRule>
    <cfRule type="containsText" dxfId="13" priority="26" stopIfTrue="1" operator="containsText" text="Good">
      <formula>NOT(ISERROR(SEARCH("Good",H81)))</formula>
    </cfRule>
    <cfRule type="containsText" dxfId="12" priority="27" operator="containsText" text="Hallucinate">
      <formula>NOT(ISERROR(SEARCH("Hallucinate",H81)))</formula>
    </cfRule>
  </conditionalFormatting>
  <conditionalFormatting sqref="G73:G80">
    <cfRule type="containsText" dxfId="11" priority="12" operator="containsText" text="Fair">
      <formula>NOT(ISERROR(SEARCH("Fair",G73)))</formula>
    </cfRule>
    <cfRule type="containsText" dxfId="10" priority="13" operator="containsText" text="Bad">
      <formula>NOT(ISERROR(SEARCH("Bad",G73)))</formula>
    </cfRule>
    <cfRule type="containsText" dxfId="9" priority="14" stopIfTrue="1" operator="containsText" text="Good">
      <formula>NOT(ISERROR(SEARCH("Good",G73)))</formula>
    </cfRule>
    <cfRule type="containsText" dxfId="8" priority="15" operator="containsText" text="Hallucinate">
      <formula>NOT(ISERROR(SEARCH("Hallucinate",G73)))</formula>
    </cfRule>
  </conditionalFormatting>
  <conditionalFormatting sqref="G81:G84">
    <cfRule type="containsText" dxfId="7" priority="8" operator="containsText" text="Fair">
      <formula>NOT(ISERROR(SEARCH("Fair",G81)))</formula>
    </cfRule>
    <cfRule type="containsText" dxfId="6" priority="9" operator="containsText" text="Bad">
      <formula>NOT(ISERROR(SEARCH("Bad",G81)))</formula>
    </cfRule>
    <cfRule type="containsText" dxfId="5" priority="10" stopIfTrue="1" operator="containsText" text="Good">
      <formula>NOT(ISERROR(SEARCH("Good",G81)))</formula>
    </cfRule>
    <cfRule type="containsText" dxfId="4" priority="11" operator="containsText" text="Hallucinate">
      <formula>NOT(ISERROR(SEARCH("Hallucinate",G81)))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B2215-0A40-A347-ACC7-7663CBF48F5D}">
  <dimension ref="A1:J29"/>
  <sheetViews>
    <sheetView topLeftCell="E1" zoomScale="98" zoomScaleNormal="100" workbookViewId="0">
      <selection activeCell="I29" sqref="I29"/>
    </sheetView>
  </sheetViews>
  <sheetFormatPr baseColWidth="10" defaultRowHeight="16" x14ac:dyDescent="0.2"/>
  <cols>
    <col min="1" max="1" width="27.33203125" style="19" customWidth="1"/>
    <col min="2" max="2" width="37.5" style="18" customWidth="1"/>
    <col min="3" max="3" width="34" style="18" customWidth="1"/>
    <col min="4" max="4" width="57.1640625" style="19" customWidth="1"/>
    <col min="5" max="5" width="57.1640625" style="1" customWidth="1"/>
    <col min="6" max="6" width="53" style="17" customWidth="1"/>
    <col min="7" max="8" width="33.6640625" style="17" customWidth="1"/>
    <col min="9" max="9" width="37.33203125" style="17" customWidth="1"/>
    <col min="10" max="16384" width="10.83203125" style="17"/>
  </cols>
  <sheetData>
    <row r="1" spans="1:9" s="19" customFormat="1" ht="33" customHeight="1" thickBot="1" x14ac:dyDescent="0.25">
      <c r="A1" s="44" t="s">
        <v>9</v>
      </c>
      <c r="B1" s="44" t="s">
        <v>105</v>
      </c>
      <c r="C1" s="44" t="s">
        <v>104</v>
      </c>
      <c r="D1" s="42" t="s">
        <v>116</v>
      </c>
      <c r="E1" s="88" t="s">
        <v>107</v>
      </c>
      <c r="F1" s="42" t="s">
        <v>117</v>
      </c>
      <c r="G1" s="43" t="s">
        <v>101</v>
      </c>
      <c r="H1" s="43" t="s">
        <v>118</v>
      </c>
      <c r="I1" s="43" t="s">
        <v>266</v>
      </c>
    </row>
    <row r="2" spans="1:9" s="19" customFormat="1" ht="260" customHeight="1" thickTop="1" x14ac:dyDescent="0.2">
      <c r="A2" s="149" t="s">
        <v>99</v>
      </c>
      <c r="B2" s="38" t="s">
        <v>98</v>
      </c>
      <c r="C2" s="30" t="s">
        <v>97</v>
      </c>
      <c r="D2" s="20" t="str">
        <f>"Purposes: "&amp; '[12]Results-raw'!F2&amp;CHAR(10)&amp;CHAR(10)&amp;"Gaps: "&amp;'[12]Results-raw'!F5 &amp;CHAR(10)&amp;CHAR(10)&amp;"Tasks: "&amp;'[12]Results-raw'!F3 &amp;CHAR(10)&amp;CHAR(10)&amp;"Tags: "&amp;'[12]Results-raw'!F4</f>
        <v xml:space="preserve">Purposes: 
Gaps: 
Tasks: 
Tags: </v>
      </c>
      <c r="E2" s="14" t="str">
        <f>"Purposes: "&amp; '[12]Results-raw'!G2&amp;CHAR(10)&amp;CHAR(10)&amp;"Gaps: "&amp;'[12]Results-raw'!G5 &amp;CHAR(10)&amp;CHAR(10)&amp;"Tasks: "&amp;'[12]Results-raw'!G3 &amp;CHAR(10)&amp;CHAR(10)&amp;"Tags: "&amp;'[12]Results-raw'!G4</f>
        <v xml:space="preserve">Purposes: 
Gaps: 
Tasks: 
Tags: </v>
      </c>
      <c r="F2" s="20" t="s">
        <v>243</v>
      </c>
      <c r="G2" s="41" t="s">
        <v>0</v>
      </c>
      <c r="H2" s="41" t="s">
        <v>34</v>
      </c>
      <c r="I2" s="40" t="s">
        <v>96</v>
      </c>
    </row>
    <row r="3" spans="1:9" s="19" customFormat="1" ht="160" customHeight="1" x14ac:dyDescent="0.2">
      <c r="A3" s="150"/>
      <c r="B3" s="31" t="s">
        <v>95</v>
      </c>
      <c r="C3" s="30" t="s">
        <v>94</v>
      </c>
      <c r="D3" s="20" t="str">
        <f>'[12]Results-raw'!F7&amp;CHAR(10)&amp;CHAR(10)&amp;'[12]Results-raw'!F8</f>
        <v xml:space="preserve">
</v>
      </c>
      <c r="E3" s="14" t="str">
        <f>'[12]Results-raw'!G7&amp;CHAR(10)&amp;CHAR(10)&amp;'[12]Results-raw'!G8</f>
        <v xml:space="preserve">
</v>
      </c>
      <c r="F3" s="20" t="s">
        <v>244</v>
      </c>
      <c r="G3" s="28" t="s">
        <v>0</v>
      </c>
      <c r="H3" s="28" t="s">
        <v>34</v>
      </c>
      <c r="I3" s="39" t="s">
        <v>96</v>
      </c>
    </row>
    <row r="4" spans="1:9" s="19" customFormat="1" ht="133" customHeight="1" x14ac:dyDescent="0.2">
      <c r="A4" s="150"/>
      <c r="B4" s="31" t="s">
        <v>93</v>
      </c>
      <c r="C4" s="30" t="s">
        <v>92</v>
      </c>
      <c r="D4" s="20" t="str">
        <f>'[12]Results-raw'!F9 &amp; CHAR(10) &amp; CHAR(10) &amp; '[12]Results-raw'!F10</f>
        <v xml:space="preserve">
</v>
      </c>
      <c r="E4" s="14" t="s">
        <v>262</v>
      </c>
      <c r="F4" s="20" t="s">
        <v>181</v>
      </c>
      <c r="G4" s="32" t="s">
        <v>0</v>
      </c>
      <c r="H4" s="32" t="s">
        <v>42</v>
      </c>
      <c r="I4" s="40" t="s">
        <v>96</v>
      </c>
    </row>
    <row r="5" spans="1:9" s="19" customFormat="1" ht="32" x14ac:dyDescent="0.2">
      <c r="A5" s="151" t="s">
        <v>91</v>
      </c>
      <c r="B5" s="24" t="s">
        <v>90</v>
      </c>
      <c r="C5" s="23" t="s">
        <v>89</v>
      </c>
      <c r="D5" s="20">
        <f>'[12]Results-raw'!F11</f>
        <v>0</v>
      </c>
      <c r="E5" s="14">
        <f>'[12]Results-raw'!G11</f>
        <v>0</v>
      </c>
      <c r="F5" s="20" t="s">
        <v>229</v>
      </c>
      <c r="G5" s="32" t="s">
        <v>0</v>
      </c>
      <c r="H5" s="32" t="s">
        <v>34</v>
      </c>
      <c r="I5" s="40" t="s">
        <v>96</v>
      </c>
    </row>
    <row r="6" spans="1:9" s="19" customFormat="1" ht="85" x14ac:dyDescent="0.2">
      <c r="A6" s="152"/>
      <c r="B6" s="24" t="s">
        <v>29</v>
      </c>
      <c r="C6" s="23" t="s">
        <v>88</v>
      </c>
      <c r="D6" s="20" t="str">
        <f>'[12]Results-raw'!F12 &amp; CHAR(10) &amp; CHAR(10) &amp; "Type:" &amp; '[12]Results-raw'!F13  &amp; CHAR(10) &amp; CHAR(10) &amp; "Grants ID:" &amp; '[12]Results-raw'!F14</f>
        <v xml:space="preserve">
Type:
Grants ID:</v>
      </c>
      <c r="E6" s="14" t="str">
        <f>'[12]Results-raw'!G12 &amp; CHAR(10) &amp; CHAR(10) &amp; "Type:" &amp; '[12]Results-raw'!G13  &amp; CHAR(10) &amp; CHAR(10) &amp; "Grants ID:" &amp; '[12]Results-raw'!G14</f>
        <v xml:space="preserve">
Type:
Grants ID:</v>
      </c>
      <c r="F6" s="20" t="s">
        <v>245</v>
      </c>
      <c r="G6" s="28" t="s">
        <v>34</v>
      </c>
      <c r="H6" s="28" t="s">
        <v>42</v>
      </c>
      <c r="I6" s="40" t="s">
        <v>96</v>
      </c>
    </row>
    <row r="7" spans="1:9" s="19" customFormat="1" ht="302" customHeight="1" x14ac:dyDescent="0.2">
      <c r="A7" s="152"/>
      <c r="B7" s="24" t="s">
        <v>87</v>
      </c>
      <c r="C7" s="23" t="s">
        <v>86</v>
      </c>
      <c r="D7" s="20" t="str">
        <f>'[12]Results-raw'!F15 &amp; CHAR(10) &amp; CHAR(10) &amp; "Contribution guidelines:" &amp; '[12]Results-raw'!F16  &amp; CHAR(10) &amp; CHAR(10) &amp; "Erratum:" &amp; '[12]Results-raw'!F17&amp; CHAR(10) &amp; CHAR(10) &amp; "Data Retention:" &amp; '[12]Results-raw'!F18</f>
        <v xml:space="preserve">
Contribution guidelines:
Erratum:
Data Retention:</v>
      </c>
      <c r="E7" s="14" t="str">
        <f>'[12]Results-raw'!G15 &amp; CHAR(10) &amp; CHAR(10) &amp; "Contribution guidelines:" &amp; '[12]Results-raw'!G16  &amp; CHAR(10) &amp; CHAR(10) &amp; "Erratum:" &amp; '[12]Results-raw'!G17&amp; CHAR(10) &amp; CHAR(10) &amp; "Data Retention:" &amp; '[12]Results-raw'!G18</f>
        <v xml:space="preserve">
Contribution guidelines:
Erratum:
Data Retention:</v>
      </c>
      <c r="F7" s="20" t="s">
        <v>246</v>
      </c>
      <c r="G7" s="32" t="s">
        <v>0</v>
      </c>
      <c r="H7" s="32" t="s">
        <v>34</v>
      </c>
      <c r="I7" s="39" t="s">
        <v>96</v>
      </c>
    </row>
    <row r="8" spans="1:9" s="19" customFormat="1" ht="48" x14ac:dyDescent="0.2">
      <c r="A8" s="153" t="s">
        <v>85</v>
      </c>
      <c r="B8" s="31" t="s">
        <v>31</v>
      </c>
      <c r="C8" s="30" t="s">
        <v>83</v>
      </c>
      <c r="D8" s="20">
        <f>'[12]Results-raw'!F19</f>
        <v>0</v>
      </c>
      <c r="E8" s="14">
        <f>'[12]Results-raw'!G19</f>
        <v>0</v>
      </c>
      <c r="F8" s="20" t="s">
        <v>247</v>
      </c>
      <c r="G8" s="28" t="s">
        <v>42</v>
      </c>
      <c r="H8" s="28" t="s">
        <v>43</v>
      </c>
      <c r="I8" s="39" t="s">
        <v>96</v>
      </c>
    </row>
    <row r="9" spans="1:9" s="19" customFormat="1" ht="153" x14ac:dyDescent="0.2">
      <c r="A9" s="150"/>
      <c r="B9" s="56" t="s">
        <v>82</v>
      </c>
      <c r="C9" s="57" t="s">
        <v>81</v>
      </c>
      <c r="D9" s="20" t="e">
        <f>"License: "&amp; '[12]Results-raw'!F20 &amp; CHAR(10) &amp; CHAR(10)
&amp; "Thid-parties in-charge: "&amp; '[12]Results-raw'!F24 &amp; CHAR(10) &amp; CHAR(10)
&amp; "Attribution notice: "&amp; '[12]Results-raw'!F23 &amp; CHAR(10) &amp; CHAR(10)
&amp; "Data Stand-alone:" &amp; '[12]Results-raw'!F21  &amp; CHAR(10) &amp; CHAR(10) &amp; "Model trained with the data:" &amp; '[12]Results-raw'!#REF!</f>
        <v>#REF!</v>
      </c>
      <c r="E9" s="14" t="str">
        <f>"License: "&amp; '[12]Results-raw'!G21 &amp; CHAR(10) &amp; CHAR(10)
&amp; "Thid-parties in-charge: "&amp; '[12]Results-raw'!H25 &amp; CHAR(10) &amp; CHAR(10)
&amp; "Attribution notice: "&amp; '[12]Results-raw'!H24 &amp; CHAR(10) &amp; CHAR(10)
&amp; "Data Stand-alone:" &amp; '[12]Results-raw'!H22  &amp; CHAR(10) &amp; CHAR(10) &amp; "Model trained with the data:" &amp; '[12]Results-raw'!H23</f>
        <v>License: 
Thid-parties in-charge: 
Attribution notice: 
Data Stand-alone:
Model trained with the data:</v>
      </c>
      <c r="F9" s="20" t="s">
        <v>248</v>
      </c>
      <c r="G9" s="32" t="s">
        <v>7</v>
      </c>
      <c r="H9" s="32" t="s">
        <v>34</v>
      </c>
      <c r="I9" s="37" t="s">
        <v>269</v>
      </c>
    </row>
    <row r="10" spans="1:9" s="19" customFormat="1" ht="32" x14ac:dyDescent="0.2">
      <c r="A10" s="150"/>
      <c r="B10" s="31" t="s">
        <v>33</v>
      </c>
      <c r="C10" s="30" t="s">
        <v>80</v>
      </c>
      <c r="D10" s="29">
        <f>'[12]Results-raw'!F25</f>
        <v>0</v>
      </c>
      <c r="E10" s="89">
        <f>'[12]Results-raw'!G25</f>
        <v>0</v>
      </c>
      <c r="F10" s="29" t="s">
        <v>129</v>
      </c>
      <c r="G10" s="28" t="s">
        <v>34</v>
      </c>
      <c r="H10" s="28" t="s">
        <v>34</v>
      </c>
      <c r="I10" s="37" t="s">
        <v>96</v>
      </c>
    </row>
    <row r="11" spans="1:9" s="19" customFormat="1" ht="85" x14ac:dyDescent="0.2">
      <c r="A11" s="152" t="s">
        <v>77</v>
      </c>
      <c r="B11" s="24" t="s">
        <v>76</v>
      </c>
      <c r="C11" s="23" t="s">
        <v>75</v>
      </c>
      <c r="D11" s="20" t="str">
        <f>"Files:" &amp;'[12]Results-raw'!F27 &amp; CHAR(10) &amp; CHAR(10) &amp; "Attributes:" &amp; '[12]Results-raw'!F28</f>
        <v>Files:
Attributes:</v>
      </c>
      <c r="E11" s="14" t="str">
        <f>"Fomats:"&amp;'[12]Results-raw'!G26&amp;CHAR(10)&amp;CHAR(10)&amp;'[12]Results-raw'!G27&amp;"Files:"&amp;'[12]Results-raw'!G27&amp;CHAR(10)&amp;CHAR(10)&amp;"Attributes:"&amp;'[12]Results-raw'!G28</f>
        <v>Fomats:
Files:
Attributes:</v>
      </c>
      <c r="F11" s="20" t="s">
        <v>249</v>
      </c>
      <c r="G11" s="32" t="s">
        <v>34</v>
      </c>
      <c r="H11" s="32" t="s">
        <v>34</v>
      </c>
      <c r="I11" s="37" t="s">
        <v>96</v>
      </c>
    </row>
    <row r="12" spans="1:9" s="19" customFormat="1" ht="32" x14ac:dyDescent="0.2">
      <c r="A12" s="152"/>
      <c r="B12" s="24" t="s">
        <v>74</v>
      </c>
      <c r="C12" s="23" t="s">
        <v>73</v>
      </c>
      <c r="D12" s="20">
        <f>'[12]Results-raw'!F33</f>
        <v>0</v>
      </c>
      <c r="E12" s="14">
        <f>'[12]Results-raw'!G33</f>
        <v>0</v>
      </c>
      <c r="F12" s="20" t="s">
        <v>129</v>
      </c>
      <c r="G12" s="32" t="s">
        <v>34</v>
      </c>
      <c r="H12" s="32" t="s">
        <v>34</v>
      </c>
      <c r="I12" s="37" t="s">
        <v>96</v>
      </c>
    </row>
    <row r="13" spans="1:9" s="19" customFormat="1" ht="51" x14ac:dyDescent="0.2">
      <c r="A13" s="152"/>
      <c r="B13" s="27" t="s">
        <v>72</v>
      </c>
      <c r="C13" s="23" t="s">
        <v>71</v>
      </c>
      <c r="D13" s="20" t="str">
        <f>'[12]Results-raw'!F32 &amp;  CHAR(10) &amp; CHAR(10) &amp; '[12]Results-raw'!F31</f>
        <v xml:space="preserve">
</v>
      </c>
      <c r="E13" s="14" t="str">
        <f>'[12]Results-raw'!G32 &amp;  CHAR(10) &amp; CHAR(10) &amp; '[12]Results-raw'!G31</f>
        <v xml:space="preserve">
</v>
      </c>
      <c r="F13" s="20" t="s">
        <v>129</v>
      </c>
      <c r="G13" s="28" t="s">
        <v>34</v>
      </c>
      <c r="H13" s="28" t="s">
        <v>34</v>
      </c>
      <c r="I13" s="37"/>
    </row>
    <row r="14" spans="1:9" s="19" customFormat="1" ht="191" customHeight="1" x14ac:dyDescent="0.2">
      <c r="A14" s="153" t="s">
        <v>70</v>
      </c>
      <c r="B14" s="31" t="s">
        <v>44</v>
      </c>
      <c r="C14" s="30" t="s">
        <v>69</v>
      </c>
      <c r="D14" s="20">
        <f>'[12]Results-raw'!F34</f>
        <v>0</v>
      </c>
      <c r="E14" s="14">
        <f>'[12]Results-raw'!G34</f>
        <v>0</v>
      </c>
      <c r="F14" s="20" t="s">
        <v>250</v>
      </c>
      <c r="G14" s="28" t="s">
        <v>34</v>
      </c>
      <c r="H14" s="28" t="s">
        <v>34</v>
      </c>
      <c r="I14" s="87" t="s">
        <v>96</v>
      </c>
    </row>
    <row r="15" spans="1:9" s="19" customFormat="1" ht="124" customHeight="1" x14ac:dyDescent="0.2">
      <c r="A15" s="150"/>
      <c r="B15" s="31" t="s">
        <v>56</v>
      </c>
      <c r="C15" s="30" t="s">
        <v>68</v>
      </c>
      <c r="D15" s="20">
        <f>'[12]Results-raw'!F35</f>
        <v>0</v>
      </c>
      <c r="E15" s="14">
        <f>'[12]Results-raw'!G35</f>
        <v>0</v>
      </c>
      <c r="F15" s="20" t="s">
        <v>251</v>
      </c>
      <c r="G15" s="28" t="s">
        <v>34</v>
      </c>
      <c r="H15" s="28" t="s">
        <v>34</v>
      </c>
      <c r="I15" s="35" t="s">
        <v>96</v>
      </c>
    </row>
    <row r="16" spans="1:9" s="19" customFormat="1" ht="85" x14ac:dyDescent="0.2">
      <c r="A16" s="150"/>
      <c r="B16" s="31" t="s">
        <v>67</v>
      </c>
      <c r="C16" s="30" t="s">
        <v>66</v>
      </c>
      <c r="D16" s="20" t="str">
        <f>'[12]Results-raw'!F40 &amp; CHAR(10) &amp; CHAR(10) &amp; "Type: "&amp;  '[12]Results-raw'!F41 &amp; CHAR(10) &amp; CHAR(10) &amp; "Demographics: " &amp;  '[12]Results-raw'!F42</f>
        <v xml:space="preserve">
Type: 
Demographics: </v>
      </c>
      <c r="E16" s="14" t="str">
        <f>'[12]Results-raw'!G40 &amp; CHAR(10) &amp; CHAR(10) &amp; "Type: "&amp;  '[12]Results-raw'!G41 &amp; CHAR(10) &amp; CHAR(10) &amp; "Demographics: " &amp;  '[12]Results-raw'!G42</f>
        <v xml:space="preserve">
Type: 
Demographics: </v>
      </c>
      <c r="F16" s="20" t="s">
        <v>252</v>
      </c>
      <c r="G16" s="32" t="s">
        <v>34</v>
      </c>
      <c r="H16" s="32" t="s">
        <v>42</v>
      </c>
      <c r="I16" s="35" t="s">
        <v>96</v>
      </c>
    </row>
    <row r="17" spans="1:10" s="19" customFormat="1" ht="80" x14ac:dyDescent="0.2">
      <c r="A17" s="150"/>
      <c r="B17" s="31" t="s">
        <v>65</v>
      </c>
      <c r="C17" s="30" t="s">
        <v>64</v>
      </c>
      <c r="D17" s="29" t="s">
        <v>253</v>
      </c>
      <c r="E17" s="89"/>
      <c r="F17" s="29" t="s">
        <v>78</v>
      </c>
      <c r="G17" s="28" t="s">
        <v>34</v>
      </c>
      <c r="H17" s="28"/>
      <c r="I17" s="35" t="s">
        <v>96</v>
      </c>
    </row>
    <row r="18" spans="1:10" s="19" customFormat="1" ht="85" x14ac:dyDescent="0.2">
      <c r="A18" s="150"/>
      <c r="B18" s="31" t="s">
        <v>62</v>
      </c>
      <c r="C18" s="30" t="s">
        <v>61</v>
      </c>
      <c r="D18" s="20" t="str">
        <f>'[12]Results-raw'!F38 &amp; CHAR(10) &amp; CHAR(10) &amp;  '[12]Results-raw'!F39 &amp; CHAR(10)</f>
        <v xml:space="preserve">
</v>
      </c>
      <c r="E18" s="14" t="str">
        <f>'[12]Results-raw'!G38 &amp; CHAR(10) &amp; CHAR(10) &amp;  '[12]Results-raw'!G39 &amp; CHAR(10) &amp; CHAR(10)</f>
        <v xml:space="preserve">
</v>
      </c>
      <c r="F18" s="20" t="s">
        <v>254</v>
      </c>
      <c r="G18" s="32" t="s">
        <v>34</v>
      </c>
      <c r="H18" s="32" t="s">
        <v>34</v>
      </c>
      <c r="I18" s="35"/>
      <c r="J18" s="19" t="s">
        <v>96</v>
      </c>
    </row>
    <row r="19" spans="1:10" s="19" customFormat="1" ht="51" x14ac:dyDescent="0.2">
      <c r="A19" s="150"/>
      <c r="B19" s="31" t="s">
        <v>60</v>
      </c>
      <c r="C19" s="30" t="s">
        <v>59</v>
      </c>
      <c r="D19" s="20" t="str">
        <f>"Timeframe:" &amp;'[12]Results-raw'!F36 &amp; CHAR(10) &amp; CHAR(10) &amp;"Geographical:" &amp; '[12]Results-raw'!F37</f>
        <v>Timeframe:
Geographical:</v>
      </c>
      <c r="E19" s="14" t="str">
        <f>'[12]Results-raw'!G36 &amp; CHAR(10) &amp; CHAR(10) &amp; '[12]Results-raw'!G37</f>
        <v xml:space="preserve">
</v>
      </c>
      <c r="F19" s="20" t="s">
        <v>255</v>
      </c>
      <c r="G19" s="28" t="s">
        <v>0</v>
      </c>
      <c r="H19" s="28" t="s">
        <v>34</v>
      </c>
      <c r="I19" s="35"/>
    </row>
    <row r="20" spans="1:10" s="19" customFormat="1" ht="173" customHeight="1" x14ac:dyDescent="0.2">
      <c r="A20" s="151" t="s">
        <v>58</v>
      </c>
      <c r="B20" s="24" t="s">
        <v>44</v>
      </c>
      <c r="C20" s="23" t="s">
        <v>57</v>
      </c>
      <c r="D20" s="20">
        <f>'[12]Results-raw'!F43</f>
        <v>0</v>
      </c>
      <c r="E20" s="14">
        <f>'[12]Results-raw'!G43</f>
        <v>0</v>
      </c>
      <c r="F20" s="20" t="s">
        <v>256</v>
      </c>
      <c r="G20" s="32" t="s">
        <v>34</v>
      </c>
      <c r="H20" s="32"/>
      <c r="I20" s="35"/>
    </row>
    <row r="21" spans="1:10" s="19" customFormat="1" ht="57" customHeight="1" x14ac:dyDescent="0.2">
      <c r="A21" s="152"/>
      <c r="B21" s="24" t="s">
        <v>56</v>
      </c>
      <c r="C21" s="23" t="s">
        <v>55</v>
      </c>
      <c r="D21" s="20">
        <f>'[12]Results-raw'!F44</f>
        <v>0</v>
      </c>
      <c r="E21" s="14">
        <f>'[12]Results-raw'!G44</f>
        <v>0</v>
      </c>
      <c r="F21" s="20" t="s">
        <v>257</v>
      </c>
      <c r="G21" s="28" t="s">
        <v>34</v>
      </c>
      <c r="H21" s="28" t="s">
        <v>43</v>
      </c>
      <c r="I21" s="26" t="s">
        <v>96</v>
      </c>
    </row>
    <row r="22" spans="1:10" s="19" customFormat="1" ht="44" customHeight="1" x14ac:dyDescent="0.2">
      <c r="A22" s="152"/>
      <c r="B22" s="24" t="s">
        <v>54</v>
      </c>
      <c r="C22" s="23" t="s">
        <v>53</v>
      </c>
      <c r="D22" s="20">
        <f>'[12]Results-raw'!F45</f>
        <v>0</v>
      </c>
      <c r="E22" s="14">
        <f>'[12]Results-raw'!G45</f>
        <v>0</v>
      </c>
      <c r="F22" s="20" t="s">
        <v>258</v>
      </c>
      <c r="G22" s="25" t="s">
        <v>42</v>
      </c>
      <c r="H22" s="25" t="s">
        <v>42</v>
      </c>
      <c r="I22" s="26" t="s">
        <v>96</v>
      </c>
    </row>
    <row r="23" spans="1:10" s="19" customFormat="1" ht="166" customHeight="1" x14ac:dyDescent="0.2">
      <c r="A23" s="152"/>
      <c r="B23" s="24" t="s">
        <v>52</v>
      </c>
      <c r="C23" s="23" t="s">
        <v>51</v>
      </c>
      <c r="D23" s="20" t="str">
        <f>'[12]Results-raw'!F46 &amp; CHAR(10) &amp; CHAR(10) &amp; "Type:" &amp;'[12]Results-raw'!F47 &amp; CHAR(10) &amp; CHAR(10) &amp; "Demographics:" &amp;'[12]Results-raw'!F48</f>
        <v xml:space="preserve">
Type:
Demographics:</v>
      </c>
      <c r="E23" s="14" t="str">
        <f>'[12]Results-raw'!G46 &amp; CHAR(10) &amp; CHAR(10) &amp; "Type:" &amp;'[12]Results-raw'!G47 &amp; CHAR(10) &amp; CHAR(10) &amp; "Demographics:" &amp;'[12]Results-raw'!G48</f>
        <v xml:space="preserve">
Type:
Demographics:</v>
      </c>
      <c r="F23" s="20" t="s">
        <v>240</v>
      </c>
      <c r="G23" s="28" t="s">
        <v>34</v>
      </c>
      <c r="H23" s="28" t="s">
        <v>34</v>
      </c>
      <c r="I23" s="26"/>
    </row>
    <row r="24" spans="1:10" s="19" customFormat="1" ht="87" customHeight="1" x14ac:dyDescent="0.2">
      <c r="A24" s="152"/>
      <c r="B24" s="24" t="s">
        <v>49</v>
      </c>
      <c r="C24" s="23" t="s">
        <v>48</v>
      </c>
      <c r="D24" s="20">
        <f>'[12]Results-raw'!F49</f>
        <v>0</v>
      </c>
      <c r="E24" s="14">
        <f>'[12]Results-raw'!G49</f>
        <v>0</v>
      </c>
      <c r="F24" s="20" t="s">
        <v>259</v>
      </c>
      <c r="G24" s="32" t="s">
        <v>43</v>
      </c>
      <c r="H24" s="32" t="s">
        <v>43</v>
      </c>
      <c r="I24" s="33" t="s">
        <v>96</v>
      </c>
    </row>
    <row r="25" spans="1:10" s="19" customFormat="1" ht="88" customHeight="1" x14ac:dyDescent="0.2">
      <c r="A25" s="152"/>
      <c r="B25" s="24" t="s">
        <v>46</v>
      </c>
      <c r="C25" s="23" t="s">
        <v>45</v>
      </c>
      <c r="D25" s="20">
        <f>'[12]Results-raw'!F50</f>
        <v>0</v>
      </c>
      <c r="E25" s="14">
        <f>'[12]Results-raw'!G50</f>
        <v>0</v>
      </c>
      <c r="F25" s="20"/>
      <c r="G25" s="28" t="s">
        <v>7</v>
      </c>
      <c r="H25" s="28" t="s">
        <v>42</v>
      </c>
      <c r="I25" s="26" t="s">
        <v>269</v>
      </c>
    </row>
    <row r="26" spans="1:10" s="19" customFormat="1" ht="53" customHeight="1" x14ac:dyDescent="0.2">
      <c r="A26" s="148" t="s">
        <v>41</v>
      </c>
      <c r="B26" s="24" t="s">
        <v>40</v>
      </c>
      <c r="C26" s="23" t="s">
        <v>39</v>
      </c>
      <c r="D26" s="20">
        <f>'[12]Results-raw'!F66</f>
        <v>0</v>
      </c>
      <c r="E26" s="14">
        <f>'[12]Results-raw'!G66</f>
        <v>0</v>
      </c>
      <c r="F26" s="20"/>
      <c r="G26" s="28" t="s">
        <v>34</v>
      </c>
      <c r="H26" s="28" t="s">
        <v>34</v>
      </c>
      <c r="I26" s="26" t="s">
        <v>96</v>
      </c>
    </row>
    <row r="27" spans="1:10" s="19" customFormat="1" ht="198" customHeight="1" x14ac:dyDescent="0.2">
      <c r="A27" s="148"/>
      <c r="B27" s="27" t="s">
        <v>38</v>
      </c>
      <c r="C27" s="23" t="s">
        <v>37</v>
      </c>
      <c r="D27" s="20" t="str">
        <f>"Representativeness issues:" &amp;'[12]Results-raw'!F67 &amp; CHAR(10) &amp;CHAR(10) &amp;  "Imbalances: "&amp; '[12]Results-raw'!F68 &amp; CHAR(10) &amp; CHAR(10)  &amp; "Sensitivity: " &amp; '[12]Results-raw'!F69</f>
        <v xml:space="preserve">Representativeness issues:
Imbalances: 
Sensitivity: </v>
      </c>
      <c r="E27" s="14" t="str">
        <f>"Representativeness issues:" &amp;'[12]Results-raw'!G67 &amp; CHAR(10) &amp;CHAR(10) &amp;  "Imbalances: "&amp; '[12]Results-raw'!G68 &amp; CHAR(10) &amp; CHAR(10)  &amp; "Sensitivity: " &amp; '[12]Results-raw'!G69</f>
        <v xml:space="preserve">Representativeness issues:
Imbalances: 
Sensitivity: </v>
      </c>
      <c r="F27" s="20"/>
      <c r="G27" s="25" t="s">
        <v>34</v>
      </c>
      <c r="H27" s="25" t="s">
        <v>34</v>
      </c>
      <c r="I27" s="26"/>
    </row>
    <row r="28" spans="1:10" s="19" customFormat="1" x14ac:dyDescent="0.2">
      <c r="A28" s="148"/>
      <c r="B28" s="24" t="s">
        <v>36</v>
      </c>
      <c r="C28" s="23" t="s">
        <v>35</v>
      </c>
      <c r="D28" s="20">
        <f>'[12]Results-raw'!F70</f>
        <v>0</v>
      </c>
      <c r="E28" s="14">
        <f>'[12]Results-raw'!G70</f>
        <v>0</v>
      </c>
      <c r="F28" s="20"/>
      <c r="G28" s="21" t="s">
        <v>34</v>
      </c>
      <c r="H28" s="21" t="s">
        <v>34</v>
      </c>
      <c r="I28" s="22" t="s">
        <v>96</v>
      </c>
    </row>
    <row r="29" spans="1:10" ht="14" customHeight="1" x14ac:dyDescent="0.2">
      <c r="I29" s="22" t="s">
        <v>96</v>
      </c>
    </row>
  </sheetData>
  <mergeCells count="7">
    <mergeCell ref="A26:A28"/>
    <mergeCell ref="A2:A4"/>
    <mergeCell ref="A5:A7"/>
    <mergeCell ref="A8:A10"/>
    <mergeCell ref="A11:A13"/>
    <mergeCell ref="A14:A19"/>
    <mergeCell ref="A20:A25"/>
  </mergeCells>
  <conditionalFormatting sqref="G73:H84 G2:H28">
    <cfRule type="containsText" dxfId="3" priority="5" operator="containsText" text="Fair">
      <formula>NOT(ISERROR(SEARCH("Fair",G2)))</formula>
    </cfRule>
    <cfRule type="containsText" dxfId="2" priority="6" operator="containsText" text="Bad">
      <formula>NOT(ISERROR(SEARCH("Bad",G2)))</formula>
    </cfRule>
    <cfRule type="containsText" dxfId="1" priority="7" stopIfTrue="1" operator="containsText" text="Good">
      <formula>NOT(ISERROR(SEARCH("Good",G2)))</formula>
    </cfRule>
    <cfRule type="containsText" dxfId="0" priority="8" operator="containsText" text="Hallucinate">
      <formula>NOT(ISERROR(SEARCH("Hallucinate",G2)))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55460-2F41-624F-8EC8-7EB8D74C2561}">
  <dimension ref="A1:I39"/>
  <sheetViews>
    <sheetView zoomScale="110" zoomScaleNormal="110" workbookViewId="0">
      <selection activeCell="C11" sqref="C11"/>
    </sheetView>
  </sheetViews>
  <sheetFormatPr baseColWidth="10" defaultRowHeight="16" x14ac:dyDescent="0.2"/>
  <cols>
    <col min="1" max="1" width="24.1640625" customWidth="1"/>
    <col min="2" max="2" width="31.1640625" customWidth="1"/>
    <col min="3" max="3" width="13.83203125" customWidth="1"/>
    <col min="4" max="4" width="16.6640625" customWidth="1"/>
    <col min="5" max="5" width="14" style="12" customWidth="1"/>
    <col min="6" max="6" width="12.83203125" customWidth="1"/>
    <col min="7" max="7" width="14" customWidth="1"/>
    <col min="8" max="8" width="9.83203125" customWidth="1"/>
    <col min="9" max="9" width="34.1640625" bestFit="1" customWidth="1"/>
  </cols>
  <sheetData>
    <row r="1" spans="1:9" ht="39" customHeight="1" thickBot="1" x14ac:dyDescent="0.25">
      <c r="A1" s="132" t="s">
        <v>274</v>
      </c>
      <c r="B1" s="133"/>
      <c r="C1" s="133"/>
      <c r="D1" s="133"/>
      <c r="E1" s="133"/>
      <c r="F1" s="133"/>
      <c r="G1" s="133"/>
      <c r="H1" s="133"/>
    </row>
    <row r="2" spans="1:9" x14ac:dyDescent="0.2">
      <c r="C2" s="134" t="s">
        <v>20</v>
      </c>
      <c r="D2" s="134"/>
      <c r="E2" s="134"/>
      <c r="F2" s="134" t="s">
        <v>19</v>
      </c>
      <c r="G2" s="134"/>
      <c r="H2" s="134"/>
      <c r="I2" s="67"/>
    </row>
    <row r="3" spans="1:9" ht="18" thickBot="1" x14ac:dyDescent="0.25">
      <c r="A3" s="73" t="s">
        <v>9</v>
      </c>
      <c r="B3" s="69" t="s">
        <v>221</v>
      </c>
      <c r="C3" s="74" t="s">
        <v>22</v>
      </c>
      <c r="D3" s="74" t="s">
        <v>23</v>
      </c>
      <c r="E3" s="75" t="s">
        <v>18</v>
      </c>
      <c r="F3" s="76" t="s">
        <v>22</v>
      </c>
      <c r="G3" s="76" t="s">
        <v>23</v>
      </c>
      <c r="H3" s="77" t="s">
        <v>18</v>
      </c>
    </row>
    <row r="4" spans="1:9" ht="17" x14ac:dyDescent="0.2">
      <c r="A4" s="129" t="s">
        <v>10</v>
      </c>
      <c r="B4" s="70" t="s">
        <v>208</v>
      </c>
      <c r="C4" s="78">
        <f>GPT!D4</f>
        <v>0.91666666666666663</v>
      </c>
      <c r="D4" s="79">
        <f>GPT!D8</f>
        <v>0</v>
      </c>
      <c r="E4" s="126">
        <f>(C4+C5+C6)/3</f>
        <v>0.91666666666666663</v>
      </c>
      <c r="F4" s="79">
        <f>FLANUL2!D4</f>
        <v>0.91666666666666663</v>
      </c>
      <c r="G4" s="79">
        <f>FLANUL2!D8</f>
        <v>0</v>
      </c>
      <c r="H4" s="126">
        <f>(F4+F5+F6)/3</f>
        <v>0.71464646464646464</v>
      </c>
    </row>
    <row r="5" spans="1:9" ht="17" customHeight="1" x14ac:dyDescent="0.2">
      <c r="A5" s="130"/>
      <c r="B5" s="71" t="s">
        <v>209</v>
      </c>
      <c r="C5" s="68">
        <f>GPT!D9</f>
        <v>1</v>
      </c>
      <c r="D5" s="2">
        <f>GPT!D13</f>
        <v>0</v>
      </c>
      <c r="E5" s="127"/>
      <c r="F5" s="2">
        <f>FLANUL2!D9</f>
        <v>0.72727272727272729</v>
      </c>
      <c r="G5" s="2">
        <f>FLANUL2!D13</f>
        <v>0</v>
      </c>
      <c r="H5" s="127"/>
    </row>
    <row r="6" spans="1:9" ht="18" thickBot="1" x14ac:dyDescent="0.25">
      <c r="A6" s="131"/>
      <c r="B6" s="72" t="s">
        <v>210</v>
      </c>
      <c r="C6" s="80">
        <f>GPT!D14</f>
        <v>0.83333333333333337</v>
      </c>
      <c r="D6" s="81">
        <f>GPT!D18</f>
        <v>0</v>
      </c>
      <c r="E6" s="128"/>
      <c r="F6" s="81">
        <f>FLANUL2!D14</f>
        <v>0.5</v>
      </c>
      <c r="G6" s="81">
        <f>FLANUL2!D18</f>
        <v>0.16666666666666666</v>
      </c>
      <c r="H6" s="128"/>
    </row>
    <row r="7" spans="1:9" ht="17" x14ac:dyDescent="0.2">
      <c r="A7" s="123" t="s">
        <v>11</v>
      </c>
      <c r="B7" s="82" t="s">
        <v>28</v>
      </c>
      <c r="C7" s="83">
        <f>GPT!D21</f>
        <v>1</v>
      </c>
      <c r="D7" s="79">
        <f>GPT!D25</f>
        <v>0</v>
      </c>
      <c r="E7" s="126">
        <f>(C7+C8+C9)/3</f>
        <v>0.97222222222222221</v>
      </c>
      <c r="F7" s="79">
        <f>FLANUL2!D21</f>
        <v>1</v>
      </c>
      <c r="G7" s="79">
        <f>FLANUL2!D25</f>
        <v>0</v>
      </c>
      <c r="H7" s="126">
        <f>(F7+F8+F9)/3</f>
        <v>0.86111111111111105</v>
      </c>
    </row>
    <row r="8" spans="1:9" ht="17" x14ac:dyDescent="0.2">
      <c r="A8" s="124"/>
      <c r="B8" s="15" t="s">
        <v>211</v>
      </c>
      <c r="C8" s="9">
        <f>GPT!D26</f>
        <v>1</v>
      </c>
      <c r="D8" s="2">
        <f>GPT!D30</f>
        <v>0</v>
      </c>
      <c r="E8" s="127"/>
      <c r="F8" s="2">
        <f>FLANUL2!D26</f>
        <v>0.91666666666666663</v>
      </c>
      <c r="G8" s="2">
        <f>FLANUL2!D30</f>
        <v>0</v>
      </c>
      <c r="H8" s="127"/>
    </row>
    <row r="9" spans="1:9" ht="16" customHeight="1" thickBot="1" x14ac:dyDescent="0.25">
      <c r="A9" s="125"/>
      <c r="B9" s="84" t="s">
        <v>30</v>
      </c>
      <c r="C9" s="85">
        <f>GPT!D31</f>
        <v>0.91666666666666663</v>
      </c>
      <c r="D9" s="81">
        <f>GPT!D35</f>
        <v>0</v>
      </c>
      <c r="E9" s="128"/>
      <c r="F9" s="81">
        <f>FLANUL2!D31</f>
        <v>0.66666666666666663</v>
      </c>
      <c r="G9" s="81">
        <f>FLANUL2!D35</f>
        <v>0</v>
      </c>
      <c r="H9" s="128"/>
    </row>
    <row r="10" spans="1:9" ht="17" x14ac:dyDescent="0.2">
      <c r="A10" s="123" t="s">
        <v>215</v>
      </c>
      <c r="B10" s="82" t="s">
        <v>212</v>
      </c>
      <c r="C10" s="83">
        <f>GPT!D38</f>
        <v>0.58333333333333337</v>
      </c>
      <c r="D10" s="79">
        <f>GPT!D42</f>
        <v>0.16666666666666666</v>
      </c>
      <c r="E10" s="126">
        <f t="shared" ref="E10" si="0">(C10+C11+C12)/3</f>
        <v>0.63888888888888895</v>
      </c>
      <c r="F10" s="79">
        <f>FLANUL2!D38</f>
        <v>0.41666666666666669</v>
      </c>
      <c r="G10" s="79">
        <f>FLANUL2!D42</f>
        <v>0</v>
      </c>
      <c r="H10" s="126">
        <f t="shared" ref="H10" si="1">(F10+F11+F12)/3</f>
        <v>0.47222222222222227</v>
      </c>
    </row>
    <row r="11" spans="1:9" ht="17" x14ac:dyDescent="0.2">
      <c r="A11" s="124"/>
      <c r="B11" s="15" t="s">
        <v>32</v>
      </c>
      <c r="C11" s="9">
        <f>GPT!D43</f>
        <v>0.33333333333333331</v>
      </c>
      <c r="D11" s="2">
        <f>GPT!D47</f>
        <v>0.33333333333333331</v>
      </c>
      <c r="E11" s="127"/>
      <c r="F11" s="2">
        <f>FLANUL2!D43</f>
        <v>0.25</v>
      </c>
      <c r="G11" s="2">
        <f>FLANUL2!D47</f>
        <v>8.3333333333333329E-2</v>
      </c>
      <c r="H11" s="127"/>
    </row>
    <row r="12" spans="1:9" ht="18" thickBot="1" x14ac:dyDescent="0.25">
      <c r="A12" s="125"/>
      <c r="B12" s="84" t="s">
        <v>33</v>
      </c>
      <c r="C12" s="85">
        <f>GPT!D48</f>
        <v>1</v>
      </c>
      <c r="D12" s="81">
        <f>GPT!D52</f>
        <v>0</v>
      </c>
      <c r="E12" s="128"/>
      <c r="F12" s="81">
        <f>FLANUL2!D48</f>
        <v>0.75</v>
      </c>
      <c r="G12" s="81">
        <f>FLANUL2!D52</f>
        <v>0</v>
      </c>
      <c r="H12" s="128"/>
    </row>
    <row r="13" spans="1:9" ht="17" x14ac:dyDescent="0.2">
      <c r="A13" s="123" t="s">
        <v>13</v>
      </c>
      <c r="B13" s="82" t="s">
        <v>213</v>
      </c>
      <c r="C13" s="83">
        <f>GPT!D55</f>
        <v>0.91666666666666663</v>
      </c>
      <c r="D13" s="79">
        <f>GPT!D59</f>
        <v>0</v>
      </c>
      <c r="E13" s="126">
        <f t="shared" ref="E13" si="2">(C13+C14+C15)/3</f>
        <v>0.91666666666666663</v>
      </c>
      <c r="F13" s="79">
        <f>FLANUL2!D55</f>
        <v>0.91666666666666663</v>
      </c>
      <c r="G13" s="79">
        <f>FLANUL2!D59</f>
        <v>0</v>
      </c>
      <c r="H13" s="126">
        <f t="shared" ref="H13" si="3">(F13+F14+F15)/3</f>
        <v>0.80555555555555547</v>
      </c>
    </row>
    <row r="14" spans="1:9" ht="17" x14ac:dyDescent="0.2">
      <c r="A14" s="124"/>
      <c r="B14" s="15" t="s">
        <v>74</v>
      </c>
      <c r="C14" s="9">
        <f>GPT!D60</f>
        <v>0.83333333333333337</v>
      </c>
      <c r="D14" s="2">
        <f>GPT!D64</f>
        <v>0</v>
      </c>
      <c r="E14" s="127"/>
      <c r="F14" s="2">
        <f>FLANUL2!D60</f>
        <v>1</v>
      </c>
      <c r="G14" s="2">
        <f>FLANUL2!D64</f>
        <v>0</v>
      </c>
      <c r="H14" s="127"/>
    </row>
    <row r="15" spans="1:9" ht="35" thickBot="1" x14ac:dyDescent="0.25">
      <c r="A15" s="125"/>
      <c r="B15" s="84" t="s">
        <v>214</v>
      </c>
      <c r="C15" s="85">
        <f>GPT!D65</f>
        <v>1</v>
      </c>
      <c r="D15" s="86">
        <f>GPT!D69</f>
        <v>0</v>
      </c>
      <c r="E15" s="128"/>
      <c r="F15" s="81">
        <f>FLANUL2!D65</f>
        <v>0.5</v>
      </c>
      <c r="G15" s="86">
        <f>FLANUL2!D69</f>
        <v>0</v>
      </c>
      <c r="H15" s="128"/>
    </row>
    <row r="16" spans="1:9" ht="18" thickBot="1" x14ac:dyDescent="0.25">
      <c r="A16" s="123" t="s">
        <v>14</v>
      </c>
      <c r="B16" s="82" t="s">
        <v>217</v>
      </c>
      <c r="C16" s="83">
        <f>GPT!D72</f>
        <v>0.91666666666666663</v>
      </c>
      <c r="D16" s="79">
        <f>GPT!D76</f>
        <v>0</v>
      </c>
      <c r="E16" s="126">
        <f>(C16+C17+C18+C19)/4</f>
        <v>0.72916666666666663</v>
      </c>
      <c r="F16" s="79">
        <f>FLANUL2!D72</f>
        <v>0.83333333333333337</v>
      </c>
      <c r="G16" s="79">
        <f>FLANUL2!D76</f>
        <v>0</v>
      </c>
      <c r="H16" s="126">
        <f>(F16+F17+F18+F19)/4</f>
        <v>0.58333333333333337</v>
      </c>
    </row>
    <row r="17" spans="1:8" ht="17" x14ac:dyDescent="0.2">
      <c r="A17" s="124"/>
      <c r="B17" s="15" t="s">
        <v>198</v>
      </c>
      <c r="C17" s="9">
        <f>GPT!D77</f>
        <v>1</v>
      </c>
      <c r="D17" s="2">
        <f>GPT!D81</f>
        <v>0</v>
      </c>
      <c r="E17" s="127"/>
      <c r="F17" s="2">
        <f>FLANUL2!D77</f>
        <v>0.66666666666666663</v>
      </c>
      <c r="G17" s="2">
        <f>FLANUL2!D81</f>
        <v>0</v>
      </c>
      <c r="H17" s="127"/>
    </row>
    <row r="18" spans="1:8" ht="17" x14ac:dyDescent="0.2">
      <c r="A18" s="124"/>
      <c r="B18" s="15" t="s">
        <v>216</v>
      </c>
      <c r="C18" s="9">
        <f>GPT!D82</f>
        <v>0.5</v>
      </c>
      <c r="D18" s="2">
        <f>GPT!D86</f>
        <v>0.16666666666666666</v>
      </c>
      <c r="E18" s="127"/>
      <c r="F18" s="2">
        <f>FLANUL2!D82</f>
        <v>0.41666666666666669</v>
      </c>
      <c r="G18" s="2">
        <f>FLANUL2!D86</f>
        <v>0</v>
      </c>
      <c r="H18" s="127"/>
    </row>
    <row r="19" spans="1:8" ht="18" thickBot="1" x14ac:dyDescent="0.25">
      <c r="A19" s="125"/>
      <c r="B19" s="84" t="s">
        <v>17</v>
      </c>
      <c r="C19" s="85">
        <f>GPT!D87</f>
        <v>0.5</v>
      </c>
      <c r="D19" s="81">
        <f>GPT!D91</f>
        <v>8.3333333333333329E-2</v>
      </c>
      <c r="E19" s="128"/>
      <c r="F19" s="81">
        <f>FLANUL2!D87</f>
        <v>0.41666666666666669</v>
      </c>
      <c r="G19" s="81">
        <f>FLANUL2!D91</f>
        <v>8.3333333333333329E-2</v>
      </c>
      <c r="H19" s="128"/>
    </row>
    <row r="20" spans="1:8" ht="17" x14ac:dyDescent="0.2">
      <c r="A20" s="123" t="s">
        <v>15</v>
      </c>
      <c r="B20" s="82" t="s">
        <v>217</v>
      </c>
      <c r="C20" s="83">
        <f>GPT!D94</f>
        <v>1</v>
      </c>
      <c r="D20" s="79">
        <f>GPT!D98</f>
        <v>0</v>
      </c>
      <c r="E20" s="126">
        <f>(C20+C21+C22+C23)/4</f>
        <v>0.8125</v>
      </c>
      <c r="F20" s="79">
        <f>FLANUL2!D94</f>
        <v>0.45454545454545453</v>
      </c>
      <c r="G20" s="79">
        <f>FLANUL2!D98</f>
        <v>0</v>
      </c>
      <c r="H20" s="126">
        <f>(F20+F21+F22+F23)/4</f>
        <v>0.6117424242424242</v>
      </c>
    </row>
    <row r="21" spans="1:8" ht="17" x14ac:dyDescent="0.2">
      <c r="A21" s="124"/>
      <c r="B21" s="15" t="s">
        <v>218</v>
      </c>
      <c r="C21" s="9">
        <f>GPT!D99</f>
        <v>1</v>
      </c>
      <c r="D21" s="2">
        <f>GPT!D103</f>
        <v>0</v>
      </c>
      <c r="E21" s="127"/>
      <c r="F21" s="2">
        <f>FLANUL2!D99</f>
        <v>0.90909090909090906</v>
      </c>
      <c r="G21" s="2">
        <f>FLANUL2!D103</f>
        <v>0</v>
      </c>
      <c r="H21" s="127"/>
    </row>
    <row r="22" spans="1:8" ht="17" x14ac:dyDescent="0.2">
      <c r="A22" s="124"/>
      <c r="B22" s="15" t="s">
        <v>201</v>
      </c>
      <c r="C22" s="9">
        <f>GPT!D104</f>
        <v>0.83333333333333337</v>
      </c>
      <c r="D22" s="2">
        <f>GPT!D108</f>
        <v>0</v>
      </c>
      <c r="E22" s="127"/>
      <c r="F22" s="2">
        <f>FLANUL2!D104</f>
        <v>0.75</v>
      </c>
      <c r="G22" s="2">
        <f>FLANUL2!D108</f>
        <v>0</v>
      </c>
      <c r="H22" s="127"/>
    </row>
    <row r="23" spans="1:8" ht="18" thickBot="1" x14ac:dyDescent="0.25">
      <c r="A23" s="125"/>
      <c r="B23" s="84" t="s">
        <v>202</v>
      </c>
      <c r="C23" s="85">
        <f>GPT!D109</f>
        <v>0.41666666666666669</v>
      </c>
      <c r="D23" s="81">
        <f>GPT!D113</f>
        <v>0.25</v>
      </c>
      <c r="E23" s="128"/>
      <c r="F23" s="81">
        <f>FLANUL2!D109</f>
        <v>0.33333333333333331</v>
      </c>
      <c r="G23" s="81">
        <f>FLANUL2!D113</f>
        <v>8.3333333333333329E-2</v>
      </c>
      <c r="H23" s="128"/>
    </row>
    <row r="24" spans="1:8" ht="17" x14ac:dyDescent="0.2">
      <c r="A24" s="123" t="s">
        <v>16</v>
      </c>
      <c r="B24" s="82" t="s">
        <v>219</v>
      </c>
      <c r="C24" s="83">
        <f>GPT!D116</f>
        <v>0.91666666666666663</v>
      </c>
      <c r="D24" s="79">
        <f>GPT!D120</f>
        <v>0</v>
      </c>
      <c r="E24" s="135">
        <f>(C24+C25+C26)/3</f>
        <v>0.94444444444444431</v>
      </c>
      <c r="F24" s="79">
        <f>FLANUL2!D116</f>
        <v>0.75</v>
      </c>
      <c r="G24" s="79">
        <f>FLANUL2!D120</f>
        <v>0</v>
      </c>
      <c r="H24" s="135">
        <f>(F24+F25+F26)/3</f>
        <v>0.77020202020202022</v>
      </c>
    </row>
    <row r="25" spans="1:8" ht="34" x14ac:dyDescent="0.2">
      <c r="A25" s="124"/>
      <c r="B25" s="15" t="s">
        <v>220</v>
      </c>
      <c r="C25" s="9">
        <f>GPT!D121</f>
        <v>1</v>
      </c>
      <c r="D25" s="2">
        <f>GPT!D125</f>
        <v>0</v>
      </c>
      <c r="E25" s="136"/>
      <c r="F25" s="2">
        <f>FLANUL2!D121</f>
        <v>0.72727272727272729</v>
      </c>
      <c r="G25" s="2">
        <f>FLANUL2!D125</f>
        <v>0</v>
      </c>
      <c r="H25" s="136"/>
    </row>
    <row r="26" spans="1:8" ht="17" x14ac:dyDescent="0.2">
      <c r="A26" s="170"/>
      <c r="B26" s="171" t="s">
        <v>205</v>
      </c>
      <c r="C26" s="172">
        <f>GPT!D126</f>
        <v>0.91666666666666663</v>
      </c>
      <c r="D26" s="173">
        <f>GPT!D130</f>
        <v>0</v>
      </c>
      <c r="E26" s="136"/>
      <c r="F26" s="173">
        <f>FLANUL2!D126</f>
        <v>0.83333333333333337</v>
      </c>
      <c r="G26" s="173">
        <f>FLANUL2!D130</f>
        <v>0</v>
      </c>
      <c r="H26" s="136"/>
    </row>
    <row r="27" spans="1:8" x14ac:dyDescent="0.2">
      <c r="A27" s="174" t="s">
        <v>335</v>
      </c>
      <c r="B27" s="175"/>
      <c r="C27" s="175"/>
      <c r="D27" s="175"/>
      <c r="E27" s="175"/>
      <c r="F27" s="175"/>
      <c r="G27" s="179">
        <f>(SUM(Mosquito!I29+Body!K30+Quechua!J29+Melanoma!I29+Antimicrobial!I29+Albanian!I29+Kenya!I30+Indonesia!I29)/8)/100</f>
        <v>0.70087500000000003</v>
      </c>
      <c r="H27" s="180"/>
    </row>
    <row r="30" spans="1:8" x14ac:dyDescent="0.2">
      <c r="B30" s="169"/>
    </row>
    <row r="39" spans="2:2" x14ac:dyDescent="0.2">
      <c r="B39" s="67"/>
    </row>
  </sheetData>
  <mergeCells count="26">
    <mergeCell ref="A27:F27"/>
    <mergeCell ref="G27:H27"/>
    <mergeCell ref="H24:H26"/>
    <mergeCell ref="E13:E15"/>
    <mergeCell ref="E16:E19"/>
    <mergeCell ref="E20:E23"/>
    <mergeCell ref="H4:H6"/>
    <mergeCell ref="H7:H9"/>
    <mergeCell ref="H10:H12"/>
    <mergeCell ref="H13:H15"/>
    <mergeCell ref="H16:H19"/>
    <mergeCell ref="E4:E6"/>
    <mergeCell ref="A4:A6"/>
    <mergeCell ref="A7:A9"/>
    <mergeCell ref="A10:A12"/>
    <mergeCell ref="A1:H1"/>
    <mergeCell ref="H20:H23"/>
    <mergeCell ref="F2:H2"/>
    <mergeCell ref="C2:E2"/>
    <mergeCell ref="A13:A15"/>
    <mergeCell ref="A24:A26"/>
    <mergeCell ref="A16:A19"/>
    <mergeCell ref="A20:A23"/>
    <mergeCell ref="E7:E9"/>
    <mergeCell ref="E10:E12"/>
    <mergeCell ref="E24:E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9523A-34F4-5E4B-8363-80AC1A280D18}">
  <dimension ref="A1:D130"/>
  <sheetViews>
    <sheetView workbookViewId="0">
      <selection activeCell="A4" sqref="A4:A8"/>
    </sheetView>
  </sheetViews>
  <sheetFormatPr baseColWidth="10" defaultRowHeight="16" x14ac:dyDescent="0.2"/>
  <cols>
    <col min="1" max="1" width="41" customWidth="1"/>
    <col min="2" max="2" width="15.1640625" customWidth="1"/>
    <col min="3" max="3" width="15.83203125" customWidth="1"/>
    <col min="4" max="4" width="15.33203125" customWidth="1"/>
    <col min="5" max="5" width="16" customWidth="1"/>
    <col min="6" max="6" width="17.6640625" customWidth="1"/>
    <col min="7" max="7" width="19.5" customWidth="1"/>
    <col min="8" max="8" width="18.1640625" customWidth="1"/>
    <col min="9" max="9" width="23.33203125" customWidth="1"/>
    <col min="12" max="12" width="13.33203125" customWidth="1"/>
    <col min="13" max="13" width="18.1640625" customWidth="1"/>
    <col min="15" max="15" width="71.83203125" customWidth="1"/>
  </cols>
  <sheetData>
    <row r="1" spans="1:4" ht="54" customHeight="1" x14ac:dyDescent="0.2">
      <c r="A1" s="181" t="s">
        <v>8</v>
      </c>
      <c r="B1" s="182"/>
      <c r="C1" s="182"/>
      <c r="D1" s="183"/>
    </row>
    <row r="2" spans="1:4" ht="22" customHeight="1" x14ac:dyDescent="0.25">
      <c r="A2" s="13" t="s">
        <v>24</v>
      </c>
      <c r="B2" s="137" t="s">
        <v>10</v>
      </c>
      <c r="C2" s="137"/>
      <c r="D2" s="137"/>
    </row>
    <row r="3" spans="1:4" x14ac:dyDescent="0.2">
      <c r="A3" s="11" t="s">
        <v>5</v>
      </c>
      <c r="B3" s="11" t="s">
        <v>5</v>
      </c>
      <c r="C3" s="8" t="s">
        <v>192</v>
      </c>
      <c r="D3" s="8" t="s">
        <v>193</v>
      </c>
    </row>
    <row r="4" spans="1:4" x14ac:dyDescent="0.2">
      <c r="A4" s="138" t="s">
        <v>25</v>
      </c>
      <c r="B4" s="3" t="s">
        <v>3</v>
      </c>
      <c r="C4" s="16">
        <f>COUNTIF(Mosquito!$G$2,"Very Good")+COUNTIF(Body!$H$2,"Very Good")+COUNTIF(Quechua!$G$2,"Very Good")+COUNTIF(Melanoma!$G$2,"Very Good")+COUNTIF(Leaf!$G$2,"Very Good")+COUNTIF(Antimicrobial!$G$2,"Very Good")+COUNTIF(Albanian!$G$2,"Very Good")+COUNTIF(Prostate!$G$2,"Very Good")+COUNTIF(Kenya!$G$2,"Very Good")+COUNTIF(Indonesia!$G$2,"Very Good")+COUNTIF(Lontar!$G$2,"Very Good")+COUNTIF(Kurdish!$G$2,"Very Good")</f>
        <v>6</v>
      </c>
      <c r="D4" s="141">
        <f>(C4+C5)/SUM(C4:C8)</f>
        <v>0.91666666666666663</v>
      </c>
    </row>
    <row r="5" spans="1:4" x14ac:dyDescent="0.2">
      <c r="A5" s="139"/>
      <c r="B5" s="4" t="s">
        <v>0</v>
      </c>
      <c r="C5" s="16">
        <f>COUNTIF(Mosquito!$G$2,"Good")+COUNTIF(Body!$H$2,"Good")+COUNTIF(Quechua!$G$2,"Good")+COUNTIF(Melanoma!$G$2,"Good")+COUNTIF(Leaf!$G$2,"Good")+COUNTIF(Antimicrobial!$G$2,"Good")+COUNTIF(Albanian!$G$2,"Good")+COUNTIF(Prostate!$G$2,"Good")+COUNTIF(Kenya!$G$2,"Good")+COUNTIF(Indonesia!$G$2,"Good")+COUNTIF(Lontar!$G$2,"Good")+COUNTIF(Kurdish!$G$2,"Good")</f>
        <v>5</v>
      </c>
      <c r="D5" s="142"/>
    </row>
    <row r="6" spans="1:4" x14ac:dyDescent="0.2">
      <c r="A6" s="139"/>
      <c r="B6" s="5" t="s">
        <v>4</v>
      </c>
      <c r="C6" s="16">
        <f>COUNTIF(Mosquito!$G$2,"Fair")+COUNTIF(Body!$H$2,"Fair")+COUNTIF(Quechua!$G$2,"Fair")+COUNTIF(Melanoma!$G$2,"Fair")+COUNTIF(Leaf!$G$2,"Fair")+COUNTIF(Antimicrobial!$G$2,"Fair")+COUNTIF(Albanian!$G$2,"Fair")+COUNTIF(Prostate!$G$2,"fair")+COUNTIF(Kenya!$G$2,"fair")+COUNTIF(Indonesia!$G$2,"fair")+COUNTIF(Lontar!$G$2,"Fair")+COUNTIF(Kurdish!$G$2,"Fair")</f>
        <v>1</v>
      </c>
      <c r="D6" s="143">
        <f>(C6+C7)/SUM(C4:C8)</f>
        <v>8.3333333333333329E-2</v>
      </c>
    </row>
    <row r="7" spans="1:4" x14ac:dyDescent="0.2">
      <c r="A7" s="139"/>
      <c r="B7" s="6" t="s">
        <v>1</v>
      </c>
      <c r="C7" s="16">
        <f>COUNTIF(Mosquito!$G$2,"Bad")+COUNTIF(Body!$H$2,"Bad")+COUNTIF(Quechua!$G$2,"Bad")+COUNTIF(Melanoma!$G$2,"Bad")+COUNTIF(Leaf!$G$2,"Bad")+COUNTIF(Antimicrobial!$G$2,"Bad")+COUNTIF(Albanian!$G$2,"Bad")+COUNTIF(Prostate!$G$2,"Bad")+COUNTIF(Kenya!$G$2,"Bad")+COUNTIF(Indonesia!$G$2,"Bad")+COUNTIF(Lontar!$G$2,"Bad")+COUNTIF(Kurdish!$G$2,"Bad")</f>
        <v>0</v>
      </c>
      <c r="D7" s="144"/>
    </row>
    <row r="8" spans="1:4" x14ac:dyDescent="0.2">
      <c r="A8" s="140"/>
      <c r="B8" s="7" t="s">
        <v>2</v>
      </c>
      <c r="C8" s="16">
        <f>COUNTIF(Mosquito!$G$2,"Hallucinate")+COUNTIF(Body!$H$2,"Hallucinate")+COUNTIF(Quechua!$G$2,"Hallucinate")+COUNTIF(Melanoma!$G$2,"Hallucinate")+COUNTIF(Leaf!$G$2,"Hallucinate")+COUNTIF(Antimicrobial!$G$2,"Hallucinate")+COUNTIF(Albanian!$G$2,"Hallucinate")+COUNTIF(Prostate!$G$2,"Hallucinate")+COUNTIF(Kenya!$G$2,"Hallucinate")+COUNTIF(Indonesia!$G$2,"Hallucinate")+COUNTIF(Lontar!$G$3,"Hallucinate")+COUNTIF(Kurdish!$G$3,"Hallucinate")</f>
        <v>0</v>
      </c>
      <c r="D8" s="10">
        <f>(C8)/SUM(C4:C8)</f>
        <v>0</v>
      </c>
    </row>
    <row r="9" spans="1:4" x14ac:dyDescent="0.2">
      <c r="A9" s="138" t="s">
        <v>26</v>
      </c>
      <c r="B9" s="3" t="s">
        <v>3</v>
      </c>
      <c r="C9" s="16">
        <f>COUNTIF(Mosquito!$G$3,"Very Good")+COUNTIF(Body!$H$3,"Very Good")+COUNTIF(Quechua!$G$3,"Very Good")+COUNTIF(Melanoma!$G$3,"Very Good")+COUNTIF(Leaf!$G$3,"Very Good")+COUNTIF(Antimicrobial!$G$3,"Very Good")+COUNTIF(Albanian!$G$3,"Very Good")+COUNTIF(Prostate!$G$3,"Very Good")+COUNTIF(Kenya!$G$3,"Very Good")+COUNTIF(Indonesia!$G$3,"Very Good")+COUNTIF(Lontar!$G$3,"Very Good")+COUNTIF(Kurdish!$G$3,"Very Good")</f>
        <v>5</v>
      </c>
      <c r="D9" s="141">
        <f>(C9+C10)/SUM(C9:C13)</f>
        <v>1</v>
      </c>
    </row>
    <row r="10" spans="1:4" x14ac:dyDescent="0.2">
      <c r="A10" s="139"/>
      <c r="B10" s="4" t="s">
        <v>0</v>
      </c>
      <c r="C10" s="16">
        <f>COUNTIF(Mosquito!$G$3,"Good")+COUNTIF(Body!$H$3,"Good")+COUNTIF(Quechua!$G$3,"Good")+COUNTIF(Melanoma!$G$3,"Good")+COUNTIF(Leaf!$G$3,"Good")+COUNTIF(Antimicrobial!$G$3,"Good")+COUNTIF(Albanian!$G$3,"Good")+COUNTIF(Prostate!$G$3,"Good")+COUNTIF(Kenya!$G$3,"Good")+COUNTIF(Indonesia!$G$3,"Good")+COUNTIF(Lontar!$G$3,"Good")+COUNTIF(Kurdish!$G$3,"Good")</f>
        <v>7</v>
      </c>
      <c r="D10" s="142"/>
    </row>
    <row r="11" spans="1:4" x14ac:dyDescent="0.2">
      <c r="A11" s="139"/>
      <c r="B11" s="5" t="s">
        <v>4</v>
      </c>
      <c r="C11" s="16">
        <f>COUNTIF(Mosquito!$G$3,"Fair")+COUNTIF(Body!$H$3,"Fair")+COUNTIF(Quechua!$G$3,"Fair")+COUNTIF(Melanoma!$G$3,"Fair")+COUNTIF(Leaf!$G$3,"Fair")+COUNTIF(Antimicrobial!$G$3,"Fair")+COUNTIF(Albanian!$G$3,"Fair")+COUNTIF(Prostate!$G$3,"fair")+COUNTIF(Kenya!$G$3,"fair")+COUNTIF(Indonesia!$G$3,"fair")+COUNTIF(Lontar!$G$3,"Fair")+COUNTIF(Kurdish!$G$3,"Fair")</f>
        <v>0</v>
      </c>
      <c r="D11" s="143">
        <f>(C11+C12)/SUM(C9:C13)</f>
        <v>0</v>
      </c>
    </row>
    <row r="12" spans="1:4" x14ac:dyDescent="0.2">
      <c r="A12" s="139"/>
      <c r="B12" s="6" t="s">
        <v>1</v>
      </c>
      <c r="C12" s="16">
        <f>COUNTIF(Mosquito!$G$3,"Bad")+COUNTIF(Body!$H$3,"Bad")+COUNTIF(Quechua!$G$3,"Bad")+COUNTIF(Melanoma!$G$3,"Bad")+COUNTIF(Leaf!$G$3,"Bad")+COUNTIF(Antimicrobial!$G$3,"Bad")+COUNTIF(Albanian!$G$3,"Bad")+COUNTIF(Prostate!$G$3,"Bad")+COUNTIF(Kenya!$G$3,"Bad")+COUNTIF(Indonesia!$G$3,"Bad")+COUNTIF(Lontar!$G$3,"Bad")+COUNTIF(Kurdish!$G$3,"Bad")</f>
        <v>0</v>
      </c>
      <c r="D12" s="144"/>
    </row>
    <row r="13" spans="1:4" ht="17" customHeight="1" x14ac:dyDescent="0.2">
      <c r="A13" s="140"/>
      <c r="B13" s="7" t="s">
        <v>2</v>
      </c>
      <c r="C13" s="16">
        <f>COUNTIF(Mosquito!$G$3,"Hallucinate")+COUNTIF(Body!$H$3,"Hallucinate")+COUNTIF(Quechua!$G$3,"Hallucinate")+COUNTIF(Melanoma!$G$3,"Hallucinate")+COUNTIF(Leaf!$G$3,"Hallucinate")+COUNTIF(Antimicrobial!$G$3,"Hallucinate")+COUNTIF(Albanian!$G$3,"Hallucinate")+COUNTIF(Prostate!$G$3,"Hallucinate")+COUNTIF(Kenya!$G$3,"Hallucinate")+COUNTIF(Indonesia!$G$3,"Hallucinate")+COUNTIF(Lontar!$G$3,"Hallucinate")+COUNTIF(Kurdish!$G$3,"Hallucinate")</f>
        <v>0</v>
      </c>
      <c r="D13" s="10">
        <f>(C13)/SUM(C9:C13)</f>
        <v>0</v>
      </c>
    </row>
    <row r="14" spans="1:4" x14ac:dyDescent="0.2">
      <c r="A14" s="138" t="s">
        <v>27</v>
      </c>
      <c r="B14" s="3" t="s">
        <v>3</v>
      </c>
      <c r="C14" s="16">
        <f>COUNTIF(Mosquito!$G$4,"Very Good")+COUNTIF(Body!$H$4,"Very Good")+COUNTIF(Quechua!$G$4,"Very Good")+COUNTIF(Melanoma!$G$4,"Very Good")+COUNTIF(Leaf!$G$4,"Very Good")+COUNTIF(Antimicrobial!$G$4,"Very Good")+COUNTIF(Albanian!$G$4,"Very Good")+COUNTIF(Prostate!$G$4,"Very Good")+COUNTIF(Kenya!$G$4,"Very Good")+COUNTIF(Indonesia!$G$4,"Very Good")+COUNTIF(Lontar!$G$4,"Very Good")+COUNTIF(Kurdish!$G$4,"Very Good")</f>
        <v>5</v>
      </c>
      <c r="D14" s="141">
        <f>(C14+C15)/SUM(C14:C18)</f>
        <v>0.83333333333333337</v>
      </c>
    </row>
    <row r="15" spans="1:4" x14ac:dyDescent="0.2">
      <c r="A15" s="139"/>
      <c r="B15" s="4" t="s">
        <v>0</v>
      </c>
      <c r="C15" s="16">
        <f>COUNTIF(Mosquito!$G$4,"Good")+COUNTIF(Body!$H$4,"Good")+COUNTIF(Quechua!$G$4,"Good")+COUNTIF(Melanoma!$G$4,"Good")+COUNTIF(Leaf!$G$4,"Good")+COUNTIF(Antimicrobial!$G$4,"Good")+COUNTIF(Albanian!$G$4,"Good")+COUNTIF(Prostate!$G$4,"Good")+COUNTIF(Kenya!$G$4,"Good")+COUNTIF(Indonesia!$G$4,"Good")+COUNTIF(Lontar!$G$4,"Good")+COUNTIF(Kurdish!$G$4,"Good")</f>
        <v>5</v>
      </c>
      <c r="D15" s="142"/>
    </row>
    <row r="16" spans="1:4" x14ac:dyDescent="0.2">
      <c r="A16" s="139"/>
      <c r="B16" s="5" t="s">
        <v>4</v>
      </c>
      <c r="C16" s="16">
        <f>COUNTIF(Mosquito!$G$4,"Fair")+COUNTIF(Body!$H$4,"Fair")+COUNTIF(Quechua!$G$4,"Fair")+COUNTIF(Melanoma!$G$4,"Fair")+COUNTIF(Leaf!$G$4,"Fair")+COUNTIF(Antimicrobial!$G$4,"Fair")+COUNTIF(Albanian!$G$4,"Fair")+COUNTIF(Prostate!$G$4,"fair")+COUNTIF(Kenya!$G$4,"fair")+COUNTIF(Indonesia!$G$4,"fair")+COUNTIF(Lontar!$G$4,"Fair")+COUNTIF(Kurdish!$G$4,"Fair")</f>
        <v>1</v>
      </c>
      <c r="D16" s="143">
        <f>(C16+C17)/SUM(C14:C18)</f>
        <v>0.16666666666666666</v>
      </c>
    </row>
    <row r="17" spans="1:4" x14ac:dyDescent="0.2">
      <c r="A17" s="139"/>
      <c r="B17" s="6" t="s">
        <v>1</v>
      </c>
      <c r="C17" s="16">
        <f>COUNTIF(Mosquito!$G$4,"Bad")+COUNTIF(Body!$H$4,"Bad")+COUNTIF(Quechua!$G$4,"Bad")+COUNTIF(Melanoma!$G$4,"Bad")+COUNTIF(Leaf!$G$4,"Bad")+COUNTIF(Antimicrobial!$G$4,"Bad")+COUNTIF(Albanian!$G$4,"Bad")+COUNTIF(Prostate!$G$4,"Bad")+COUNTIF(Kenya!$G$4,"Bad")+COUNTIF(Indonesia!$G$4,"Bad")+COUNTIF(Lontar!$G$4,"Bad")+COUNTIF(Kurdish!$G$4,"Bad")</f>
        <v>1</v>
      </c>
      <c r="D17" s="144"/>
    </row>
    <row r="18" spans="1:4" x14ac:dyDescent="0.2">
      <c r="A18" s="140"/>
      <c r="B18" s="7" t="s">
        <v>2</v>
      </c>
      <c r="C18" s="16">
        <f>COUNTIF(Mosquito!$G$4,"Hallucinate")+COUNTIF(Body!$H$4,"Hallucinate")+COUNTIF(Quechua!$G$4,"Hallucinate")+COUNTIF(Melanoma!$G$4,"Hallucinate")+COUNTIF(Leaf!$G$4,"Hallucinate")+COUNTIF(Antimicrobial!$G$4,"Hallucinate")+COUNTIF(Albanian!$G$4,"Hallucinate")+COUNTIF(Prostate!$G$4,"Hallucinate")+COUNTIF(Kenya!$G$4,"Hallucinate")+COUNTIF(Indonesia!$G$4,"Hallucinate")+COUNTIF(Lontar!$G$4,"Hallucinate")+COUNTIF(Kurdish!$G$4,"Hallucinate")</f>
        <v>0</v>
      </c>
      <c r="D18" s="10">
        <f>(C18)/SUM(C14:C18)</f>
        <v>0</v>
      </c>
    </row>
    <row r="19" spans="1:4" ht="22" customHeight="1" x14ac:dyDescent="0.25">
      <c r="A19" s="13" t="s">
        <v>24</v>
      </c>
      <c r="B19" s="137" t="s">
        <v>11</v>
      </c>
      <c r="C19" s="137"/>
      <c r="D19" s="137"/>
    </row>
    <row r="20" spans="1:4" x14ac:dyDescent="0.2">
      <c r="A20" s="11" t="s">
        <v>5</v>
      </c>
      <c r="B20" s="11" t="s">
        <v>5</v>
      </c>
      <c r="C20" s="8" t="s">
        <v>192</v>
      </c>
      <c r="D20" s="8" t="s">
        <v>193</v>
      </c>
    </row>
    <row r="21" spans="1:4" x14ac:dyDescent="0.2">
      <c r="A21" s="138" t="s">
        <v>28</v>
      </c>
      <c r="B21" s="3" t="s">
        <v>3</v>
      </c>
      <c r="C21" s="16">
        <f>COUNTIF(Mosquito!$G$5,"Very Good")+COUNTIF(Body!$H$5,"Very Good")+COUNTIF(Quechua!$G$5,"Very Good")+COUNTIF(Melanoma!$G$5,"Very Good")+COUNTIF(Leaf!$G$5,"Very Good")+COUNTIF(Antimicrobial!$G$5,"Very Good")+COUNTIF(Albanian!$G$5,"Very Good")+COUNTIF(Prostate!$G$5,"Very Good")+COUNTIF(Kenya!$G$5,"Very Good")+COUNTIF(Indonesia!$G$5,"Very Good")+COUNTIF(Lontar!$G$5,"Very Good")+COUNTIF(Kurdish!$G$5,"Very Good")</f>
        <v>8</v>
      </c>
      <c r="D21" s="141">
        <f>(C21+C22)/SUM(C21:C25)</f>
        <v>1</v>
      </c>
    </row>
    <row r="22" spans="1:4" x14ac:dyDescent="0.2">
      <c r="A22" s="139"/>
      <c r="B22" s="4" t="s">
        <v>0</v>
      </c>
      <c r="C22" s="16">
        <f>COUNTIF(Mosquito!$G$5,"Good")+COUNTIF(Body!$H$5,"Good")+COUNTIF(Quechua!$G$5,"Good")+COUNTIF(Melanoma!$G$5,"Good")+COUNTIF(Leaf!$G$5,"Good")+COUNTIF(Antimicrobial!$G$5,"Good")+COUNTIF(Albanian!$G$5,"Good")+COUNTIF(Prostate!$G$5,"Good")+COUNTIF(Kenya!$G$5,"Good")+COUNTIF(Indonesia!$G$5,"Good")+COUNTIF(Lontar!$G$5,"Good")+COUNTIF(Kurdish!$G$5,"Good")</f>
        <v>4</v>
      </c>
      <c r="D22" s="142"/>
    </row>
    <row r="23" spans="1:4" x14ac:dyDescent="0.2">
      <c r="A23" s="139"/>
      <c r="B23" s="5" t="s">
        <v>4</v>
      </c>
      <c r="C23" s="16">
        <f>COUNTIF(Mosquito!$G$5,"Fair")+COUNTIF(Body!$H$5,"Fair")+COUNTIF(Quechua!$G$5,"Fair")+COUNTIF(Melanoma!$G$5,"Fair")+COUNTIF(Leaf!$G$5,"Fair")+COUNTIF(Antimicrobial!$G$5,"Fair")+COUNTIF(Albanian!$G$5,"Fair")+COUNTIF(Prostate!$G$5,"fair")+COUNTIF(Kenya!$G$5,"fair")+COUNTIF(Indonesia!$G$5,"fair")+COUNTIF(Lontar!$G$5,"Fair")+COUNTIF(Kurdish!$G$5,"Fair")</f>
        <v>0</v>
      </c>
      <c r="D23" s="143">
        <f>(C23+C24)/SUM(C21:C25)</f>
        <v>0</v>
      </c>
    </row>
    <row r="24" spans="1:4" x14ac:dyDescent="0.2">
      <c r="A24" s="139"/>
      <c r="B24" s="6" t="s">
        <v>1</v>
      </c>
      <c r="C24" s="16">
        <f>COUNTIF(Mosquito!$G$5,"Bad")+COUNTIF(Body!$H$5,"Bad")+COUNTIF(Quechua!$G$5,"Bad")+COUNTIF(Melanoma!$G$5,"Bad")+COUNTIF(Leaf!$G$5,"Bad")+COUNTIF(Antimicrobial!$G$5,"Bad")+COUNTIF(Albanian!$G$5,"Bad")+COUNTIF(Prostate!$G$5,"Bad")+COUNTIF(Kenya!$G$5,"Bad")+COUNTIF(Indonesia!$G$5,"Bad")+COUNTIF(Lontar!$G$5,"Bad")+COUNTIF(Kurdish!$G$5,"Bad")</f>
        <v>0</v>
      </c>
      <c r="D24" s="144"/>
    </row>
    <row r="25" spans="1:4" x14ac:dyDescent="0.2">
      <c r="A25" s="140"/>
      <c r="B25" s="7" t="s">
        <v>2</v>
      </c>
      <c r="C25" s="16">
        <f>COUNTIF(Mosquito!$G$5,"Hallucinate")+COUNTIF(Body!$H$5,"Hallucinate")+COUNTIF(Quechua!$G$5,"Hallucinate")+COUNTIF(Melanoma!$G$5,"Hallucinate")+COUNTIF(Leaf!$G$5,"Hallucinate")+COUNTIF(Antimicrobial!$G$5,"Hallucinate")+COUNTIF(Albanian!$G$5,"Hallucinate")+COUNTIF(Prostate!$G$5,"Hallucinate")+COUNTIF(Kenya!$G$5,"Hallucinate")+COUNTIF(Indonesia!$G$5,"Hallucinate")+COUNTIF(Lontar!$G$5,"Hallucinate")+COUNTIF(Kurdish!$G$5,"Hallucinate")</f>
        <v>0</v>
      </c>
      <c r="D25" s="10">
        <f>(C25)/SUM(C21:C25)</f>
        <v>0</v>
      </c>
    </row>
    <row r="26" spans="1:4" x14ac:dyDescent="0.2">
      <c r="A26" s="138" t="s">
        <v>194</v>
      </c>
      <c r="B26" s="3" t="s">
        <v>3</v>
      </c>
      <c r="C26" s="16">
        <f>COUNTIF(Mosquito!$G$6,"Very Good")+COUNTIF(Body!$H$6,"Very Good")+COUNTIF(Quechua!$G$6,"Very Good")+COUNTIF(Melanoma!$G$6,"Very Good")+COUNTIF(Leaf!$G$6,"Very Good")+COUNTIF(Antimicrobial!$G$6,"Very Good")+COUNTIF(Albanian!$G$6,"Very Good")+COUNTIF(Prostate!$G$6,"Very Good")+COUNTIF(Kenya!$G$6,"Very Good")+COUNTIF(Indonesia!$G$6,"Very Good")+COUNTIF(Lontar!$G$6,"Very Good")+COUNTIF(Kurdish!$G$6,"Very Good")</f>
        <v>6</v>
      </c>
      <c r="D26" s="141">
        <f>(C26+C27)/SUM(C26:C30)</f>
        <v>1</v>
      </c>
    </row>
    <row r="27" spans="1:4" x14ac:dyDescent="0.2">
      <c r="A27" s="139"/>
      <c r="B27" s="4" t="s">
        <v>0</v>
      </c>
      <c r="C27" s="16">
        <f>COUNTIF(Mosquito!$G$6,"Good")+COUNTIF(Body!$H$6,"Good")+COUNTIF(Quechua!$G$6,"Good")+COUNTIF(Melanoma!$G$6,"Good")+COUNTIF(Leaf!$G$6,"Good")+COUNTIF(Antimicrobial!$G$6,"Good")+COUNTIF(Albanian!$G$6,"Good")+COUNTIF(Prostate!$G$6,"Good")+COUNTIF(Kenya!$G$6,"Good")+COUNTIF(Indonesia!$G$6,"Good")+COUNTIF(Lontar!$G$6,"Good")+COUNTIF(Kurdish!$G$6,"Good")</f>
        <v>6</v>
      </c>
      <c r="D27" s="142"/>
    </row>
    <row r="28" spans="1:4" x14ac:dyDescent="0.2">
      <c r="A28" s="139"/>
      <c r="B28" s="5" t="s">
        <v>4</v>
      </c>
      <c r="C28" s="16">
        <f>COUNTIF(Mosquito!$G$6,"Fair")+COUNTIF(Body!$H$6,"Fair")+COUNTIF(Quechua!$G$6,"Fair")+COUNTIF(Melanoma!$G$6,"Fair")+COUNTIF(Leaf!$G$6,"Fair")+COUNTIF(Antimicrobial!$G$6,"Fair")+COUNTIF(Albanian!$G$6,"Fair")+COUNTIF(Prostate!$G$6,"fair")+COUNTIF(Kenya!$G$6,"fair")+COUNTIF(Indonesia!$G$6,"fair")+COUNTIF(Lontar!$G$6,"Fair")+COUNTIF(Kurdish!$G$6,"Fair")</f>
        <v>0</v>
      </c>
      <c r="D28" s="143">
        <f>(C28+C29)/SUM(C26:C30)</f>
        <v>0</v>
      </c>
    </row>
    <row r="29" spans="1:4" x14ac:dyDescent="0.2">
      <c r="A29" s="139"/>
      <c r="B29" s="6" t="s">
        <v>1</v>
      </c>
      <c r="C29" s="16">
        <f>COUNTIF(Mosquito!$G$6,"Bad")+COUNTIF(Body!$H$6,"Bad")+COUNTIF(Quechua!$G$6,"Bad")+COUNTIF(Melanoma!$G$6,"Bad")+COUNTIF(Leaf!$G$6,"Bad")+COUNTIF(Antimicrobial!$G$6,"Bad")+COUNTIF(Albanian!$G$6,"Bad")+COUNTIF(Prostate!$G$6,"Bad")+COUNTIF(Kenya!$G$6,"Bad")+COUNTIF(Indonesia!$G$6,"Bad")+COUNTIF(Lontar!$G$6,"Bad")+COUNTIF(Kurdish!$G$6,"Bad")</f>
        <v>0</v>
      </c>
      <c r="D29" s="144"/>
    </row>
    <row r="30" spans="1:4" ht="17" customHeight="1" x14ac:dyDescent="0.2">
      <c r="A30" s="140"/>
      <c r="B30" s="7" t="s">
        <v>2</v>
      </c>
      <c r="C30" s="16">
        <f>COUNTIF(Mosquito!$G$6,"Hallucinate")+COUNTIF(Body!$H$6,"Hallucinate")+COUNTIF(Quechua!$G$6,"Hallucinate")+COUNTIF(Melanoma!$G$6,"Hallucinate")+COUNTIF(Leaf!$G$6,"Hallucinate")+COUNTIF(Antimicrobial!$G$6,"Hallucinate")+COUNTIF(Albanian!$G$6,"Hallucinate")+COUNTIF(Prostate!$G$6,"Hallucinate")+COUNTIF(Kenya!$G$6,"Hallucinate")+COUNTIF(Indonesia!$G$6,"Hallucinate")+COUNTIF(Lontar!$G$6,"Hallucinate")+COUNTIF(Kurdish!$G$6,"Hallucinate")</f>
        <v>0</v>
      </c>
      <c r="D30" s="10">
        <f>(C30)/SUM(C26:C30)</f>
        <v>0</v>
      </c>
    </row>
    <row r="31" spans="1:4" x14ac:dyDescent="0.2">
      <c r="A31" s="138" t="s">
        <v>30</v>
      </c>
      <c r="B31" s="3" t="s">
        <v>3</v>
      </c>
      <c r="C31" s="16">
        <f>COUNTIF(Mosquito!$G$7,"Very Good")+COUNTIF(Body!$H$7,"Very Good")+COUNTIF(Quechua!$G$7,"Very Good")+COUNTIF(Melanoma!$G$7,"Very Good")+COUNTIF(Leaf!$G$7,"Very Good")+COUNTIF(Antimicrobial!$G$7,"Very Good")+COUNTIF(Albanian!$G$7,"Very Good")+COUNTIF(Prostate!$G$7,"Very Good")+COUNTIF(Kenya!$G$7,"Very Good")+COUNTIF(Indonesia!$G$7,"Very Good")+COUNTIF(Lontar!$G$7,"Very Good")+COUNTIF(Kurdish!$G$7,"Very Good")</f>
        <v>3</v>
      </c>
      <c r="D31" s="141">
        <f>(C31+C32)/SUM(C31:C35)</f>
        <v>0.91666666666666663</v>
      </c>
    </row>
    <row r="32" spans="1:4" x14ac:dyDescent="0.2">
      <c r="A32" s="139"/>
      <c r="B32" s="4" t="s">
        <v>0</v>
      </c>
      <c r="C32" s="16">
        <f>COUNTIF(Mosquito!$G$7,"Good")+COUNTIF(Body!$H$7,"Good")+COUNTIF(Quechua!$G$7,"Good")+COUNTIF(Melanoma!$G$7,"Good")+COUNTIF(Leaf!$G$7,"Good")+COUNTIF(Antimicrobial!$G$7,"Good")+COUNTIF(Albanian!$G$7,"Good")+COUNTIF(Prostate!$G$7,"Good")+COUNTIF(Kenya!$G$7,"Good")+COUNTIF(Indonesia!$G$7,"Good")+COUNTIF(Lontar!$G$7,"Good")+COUNTIF(Kurdish!$G$7,"Good")</f>
        <v>8</v>
      </c>
      <c r="D32" s="142"/>
    </row>
    <row r="33" spans="1:4" x14ac:dyDescent="0.2">
      <c r="A33" s="139"/>
      <c r="B33" s="5" t="s">
        <v>4</v>
      </c>
      <c r="C33" s="16">
        <f>COUNTIF(Mosquito!$G$7,"Fair")+COUNTIF(Body!$H$7,"Fair")+COUNTIF(Quechua!$G$7,"Fair")+COUNTIF(Melanoma!$G$7,"Fair")+COUNTIF(Leaf!$G$7,"Fair")+COUNTIF(Antimicrobial!$G$7,"Fair")+COUNTIF(Albanian!$G$7,"Fair")+COUNTIF(Prostate!$G$7,"fair")+COUNTIF(Kenya!$G$7,"fair")+COUNTIF(Indonesia!$G$7,"fair")+COUNTIF(Lontar!$G$7,"Fair")+COUNTIF(Kurdish!$G$7,"Fair")</f>
        <v>1</v>
      </c>
      <c r="D33" s="143">
        <f>(C33+C34)/SUM(C31:C35)</f>
        <v>8.3333333333333329E-2</v>
      </c>
    </row>
    <row r="34" spans="1:4" x14ac:dyDescent="0.2">
      <c r="A34" s="139"/>
      <c r="B34" s="6" t="s">
        <v>1</v>
      </c>
      <c r="C34" s="16">
        <f>COUNTIF(Mosquito!$G$7,"Bad")+COUNTIF(Body!$H$7,"Bad")+COUNTIF(Quechua!$G$7,"Bad")+COUNTIF(Melanoma!$G$7,"Bad")+COUNTIF(Leaf!$G$7,"Bad")+COUNTIF(Antimicrobial!$G$7,"Bad")+COUNTIF(Albanian!$G$7,"Bad")+COUNTIF(Prostate!$G$7,"Bad")+COUNTIF(Kenya!$G$7,"Bad")+COUNTIF(Indonesia!$G$7,"Bad")+COUNTIF(Lontar!$G$7,"Bad")+COUNTIF(Kurdish!$G$7,"Bad")</f>
        <v>0</v>
      </c>
      <c r="D34" s="144"/>
    </row>
    <row r="35" spans="1:4" x14ac:dyDescent="0.2">
      <c r="A35" s="140"/>
      <c r="B35" s="7" t="s">
        <v>2</v>
      </c>
      <c r="C35" s="16">
        <f>COUNTIF(Mosquito!$G$7,"Hallucinate")+COUNTIF(Body!$H$7,"Hallucinate")+COUNTIF(Quechua!$G$7,"Hallucinate")+COUNTIF(Melanoma!$G$7,"Hallucinate")+COUNTIF(Leaf!$G$7,"Hallucinate")+COUNTIF(Antimicrobial!$G$7,"Hallucinate")+COUNTIF(Albanian!$G$7,"Hallucinate")+COUNTIF(Prostate!$G$7,"Hallucinate")+COUNTIF(Kenya!$G$7,"Hallucinate")+COUNTIF(Indonesia!$G$7,"Hallucinate")+COUNTIF(Lontar!$G$7,"Hallucinate")+COUNTIF(Kurdish!$G$7,"Hallucinate")</f>
        <v>0</v>
      </c>
      <c r="D35" s="10">
        <f>(C35)/SUM(C31:C35)</f>
        <v>0</v>
      </c>
    </row>
    <row r="36" spans="1:4" ht="22" customHeight="1" x14ac:dyDescent="0.25">
      <c r="A36" s="13" t="s">
        <v>24</v>
      </c>
      <c r="B36" s="137" t="s">
        <v>12</v>
      </c>
      <c r="C36" s="137"/>
      <c r="D36" s="137"/>
    </row>
    <row r="37" spans="1:4" x14ac:dyDescent="0.2">
      <c r="A37" s="11" t="s">
        <v>5</v>
      </c>
      <c r="B37" s="11" t="s">
        <v>5</v>
      </c>
      <c r="C37" s="8" t="s">
        <v>192</v>
      </c>
      <c r="D37" s="8" t="s">
        <v>193</v>
      </c>
    </row>
    <row r="38" spans="1:4" x14ac:dyDescent="0.2">
      <c r="A38" s="138" t="s">
        <v>31</v>
      </c>
      <c r="B38" s="3" t="s">
        <v>3</v>
      </c>
      <c r="C38" s="16">
        <f>COUNTIF(Mosquito!$G$8,"Very Good")+COUNTIF(Body!$H$8,"Very Good")+COUNTIF(Quechua!$G$8,"Very Good")+COUNTIF(Melanoma!$G$8,"Very Good")+COUNTIF(Leaf!$G$8,"Very Good")+COUNTIF(Antimicrobial!$G$8,"Very Good")+COUNTIF(Albanian!$G$8,"Very Good")+COUNTIF(Prostate!$G$8,"Very Good")+COUNTIF(Kenya!$G$8,"Very Good")+COUNTIF(Indonesia!$G$8,"Very Good")+COUNTIF(Lontar!$G$8,"Very Good")+COUNTIF(Kurdish!$G$8,"Very Good")</f>
        <v>2</v>
      </c>
      <c r="D38" s="141">
        <f>(C38+C39)/SUM(C38:C42)</f>
        <v>0.58333333333333337</v>
      </c>
    </row>
    <row r="39" spans="1:4" x14ac:dyDescent="0.2">
      <c r="A39" s="139"/>
      <c r="B39" s="4" t="s">
        <v>0</v>
      </c>
      <c r="C39" s="16">
        <f>COUNTIF(Mosquito!$G$8,"Good")+COUNTIF(Body!$H$8,"Good")+COUNTIF(Quechua!$G$8,"Good")+COUNTIF(Melanoma!$G$8,"Good")+COUNTIF(Leaf!$G$8,"Good")+COUNTIF(Antimicrobial!$G$8,"Good")+COUNTIF(Albanian!$G$8,"Good")+COUNTIF(Prostate!$G$8,"Good")+COUNTIF(Kenya!$G$8,"Good")+COUNTIF(Indonesia!$G$8,"Good")+COUNTIF(Lontar!$G$8,"Good")+COUNTIF(Kurdish!$G$8,"Good")</f>
        <v>5</v>
      </c>
      <c r="D39" s="142"/>
    </row>
    <row r="40" spans="1:4" x14ac:dyDescent="0.2">
      <c r="A40" s="139"/>
      <c r="B40" s="5" t="s">
        <v>4</v>
      </c>
      <c r="C40" s="16">
        <f>COUNTIF(Mosquito!$G$8,"Fair")+COUNTIF(Body!$H$8,"Fair")+COUNTIF(Quechua!$G$8,"Fair")+COUNTIF(Melanoma!$G$8,"Fair")+COUNTIF(Leaf!$G$8,"Fair")+COUNTIF(Antimicrobial!$G$8,"Fair")+COUNTIF(Albanian!$G$8,"Fair")+COUNTIF(Prostate!$G$8,"fair")+COUNTIF(Kenya!$G$8,"fair")+COUNTIF(Indonesia!$G$8,"fair")+COUNTIF(Lontar!$G$8,"Fair")+COUNTIF(Kurdish!$G$8,"Fair")</f>
        <v>0</v>
      </c>
      <c r="D40" s="143">
        <f>(C40+C41)/SUM(C38:C42)</f>
        <v>0.25</v>
      </c>
    </row>
    <row r="41" spans="1:4" x14ac:dyDescent="0.2">
      <c r="A41" s="139"/>
      <c r="B41" s="6" t="s">
        <v>1</v>
      </c>
      <c r="C41" s="16">
        <f>COUNTIF(Mosquito!$G$8,"Bad")+COUNTIF(Body!$H$8,"Bad")+COUNTIF(Quechua!$G$8,"Bad")+COUNTIF(Melanoma!$G$8,"Bad")+COUNTIF(Leaf!$G$8,"Bad")+COUNTIF(Antimicrobial!$G$8,"Bad")+COUNTIF(Albanian!$G$8,"Bad")+COUNTIF(Prostate!$G$8,"Bad")+COUNTIF(Kenya!$G$8,"Bad")+COUNTIF(Indonesia!$G$8,"Bad")+COUNTIF(Lontar!$G$8,"Bad")+COUNTIF(Kurdish!$G$8,"Bad")</f>
        <v>3</v>
      </c>
      <c r="D41" s="144"/>
    </row>
    <row r="42" spans="1:4" x14ac:dyDescent="0.2">
      <c r="A42" s="140"/>
      <c r="B42" s="7" t="s">
        <v>2</v>
      </c>
      <c r="C42" s="16">
        <f>COUNTIF(Mosquito!$G$8,"Hallucinate")+COUNTIF(Body!$H$8,"Hallucinate")+COUNTIF(Quechua!$G$8,"Hallucinate")+COUNTIF(Melanoma!$G$8,"Hallucinate")+COUNTIF(Leaf!$G$8,"Hallucinate")+COUNTIF(Antimicrobial!$G$8,"Hallucinate")+COUNTIF(Albanian!$G$8,"Hallucinate")+COUNTIF(Prostate!$G$8,"Hallucinate")+COUNTIF(Kenya!$G$8,"Hallucinate")+COUNTIF(Indonesia!$G$8,"Hallucinate")+COUNTIF(Lontar!$G$8,"Hallucinate")+COUNTIF(Kurdish!$G$8,"Hallucinate")</f>
        <v>2</v>
      </c>
      <c r="D42" s="10">
        <f>(C42)/SUM(C38:C42)</f>
        <v>0.16666666666666666</v>
      </c>
    </row>
    <row r="43" spans="1:4" x14ac:dyDescent="0.2">
      <c r="A43" s="138" t="s">
        <v>195</v>
      </c>
      <c r="B43" s="3" t="s">
        <v>3</v>
      </c>
      <c r="C43" s="16">
        <f>COUNTIF(Mosquito!$G$9,"Very Good")+COUNTIF(Body!$H$9,"Very Good")+COUNTIF(Quechua!$G$9,"Very Good")+COUNTIF(Melanoma!$G$9,"Very Good")+COUNTIF(Leaf!$G$9,"Very Good")+COUNTIF(Antimicrobial!$G$9,"Very Good")+COUNTIF(Albanian!$G$9,"Very Good")+COUNTIF(Prostate!$G$9,"Very Good")+COUNTIF(Kenya!$G$9,"Very Good")+COUNTIF(Indonesia!$G$9,"Very Good")+COUNTIF(Lontar!$G$9,"Very Good")+COUNTIF(Kurdish!$G$9,"Very Good")</f>
        <v>2</v>
      </c>
      <c r="D43" s="141">
        <f>(C43+C44)/SUM(C43:C47)</f>
        <v>0.33333333333333331</v>
      </c>
    </row>
    <row r="44" spans="1:4" x14ac:dyDescent="0.2">
      <c r="A44" s="139"/>
      <c r="B44" s="4" t="s">
        <v>0</v>
      </c>
      <c r="C44" s="16">
        <f>COUNTIF(Mosquito!$G$9,"Good")+COUNTIF(Body!$H$9,"Good")+COUNTIF(Quechua!$G$9,"Good")+COUNTIF(Melanoma!$G$9,"Good")+COUNTIF(Leaf!$G$9,"Good")+COUNTIF(Antimicrobial!$G$9,"Good")+COUNTIF(Albanian!$G$9,"Good")+COUNTIF(Prostate!$G$9,"Good")+COUNTIF(Kenya!$G$9,"Good")+COUNTIF(Indonesia!$G$9,"Good")+COUNTIF(Lontar!$G$9,"Good")+COUNTIF(Kurdish!$G$9,"Good")</f>
        <v>2</v>
      </c>
      <c r="D44" s="142"/>
    </row>
    <row r="45" spans="1:4" x14ac:dyDescent="0.2">
      <c r="A45" s="139"/>
      <c r="B45" s="5" t="s">
        <v>4</v>
      </c>
      <c r="C45" s="16">
        <f>COUNTIF(Mosquito!$G$9,"Fair")+COUNTIF(Body!$H$9,"Fair")+COUNTIF(Quechua!$G$9,"Fair")+COUNTIF(Melanoma!$G$9,"Fair")+COUNTIF(Leaf!$G$9,"Fair")+COUNTIF(Antimicrobial!$G$9,"Fair")+COUNTIF(Albanian!$G$9,"Fair")+COUNTIF(Prostate!$G$9,"fair")+COUNTIF(Kenya!$G$9,"fair")+COUNTIF(Indonesia!$G$9,"fair")+COUNTIF(Lontar!$G$9,"Fair")+COUNTIF(Kurdish!$G$9,"Fair")</f>
        <v>2</v>
      </c>
      <c r="D45" s="143">
        <f>(C45+C46)/SUM(C43:C47)</f>
        <v>0.33333333333333331</v>
      </c>
    </row>
    <row r="46" spans="1:4" x14ac:dyDescent="0.2">
      <c r="A46" s="139"/>
      <c r="B46" s="6" t="s">
        <v>1</v>
      </c>
      <c r="C46" s="16">
        <f>COUNTIF(Mosquito!$G$9,"Bad")+COUNTIF(Body!$H$9,"Bad")+COUNTIF(Quechua!$G$9,"Bad")+COUNTIF(Melanoma!$G$9,"Bad")+COUNTIF(Leaf!$G$9,"Bad")+COUNTIF(Antimicrobial!$G$9,"Bad")+COUNTIF(Albanian!$G$9,"Bad")+COUNTIF(Prostate!$G$9,"Bad")+COUNTIF(Kenya!$G$9,"Bad")+COUNTIF(Indonesia!$G$9,"Bad")+COUNTIF(Lontar!$G$9,"Bad")+COUNTIF(Kurdish!$G$9,"Bad")</f>
        <v>2</v>
      </c>
      <c r="D46" s="144"/>
    </row>
    <row r="47" spans="1:4" ht="17" customHeight="1" x14ac:dyDescent="0.2">
      <c r="A47" s="140"/>
      <c r="B47" s="7" t="s">
        <v>2</v>
      </c>
      <c r="C47" s="16">
        <f>COUNTIF(Mosquito!$G$9,"Hallucinate")+COUNTIF(Body!$H$9,"Hallucinate")+COUNTIF(Quechua!$G$9,"Hallucinate")+COUNTIF(Melanoma!$G$9,"Hallucinate")+COUNTIF(Leaf!$G$9,"Hallucinate")+COUNTIF(Antimicrobial!$G$9,"Hallucinate")+COUNTIF(Albanian!$G$9,"Hallucinate")+COUNTIF(Prostate!$G$9,"Hallucinate")+COUNTIF(Kenya!$G$9,"Hallucinate")+COUNTIF(Indonesia!$G$9,"Hallucinate")+COUNTIF(Lontar!$G$9,"Hallucinate")+COUNTIF(Kurdish!$G$9,"Hallucinate")</f>
        <v>4</v>
      </c>
      <c r="D47" s="10">
        <f>(C47)/SUM(C43:C47)</f>
        <v>0.33333333333333331</v>
      </c>
    </row>
    <row r="48" spans="1:4" x14ac:dyDescent="0.2">
      <c r="A48" s="138" t="s">
        <v>33</v>
      </c>
      <c r="B48" s="3" t="s">
        <v>3</v>
      </c>
      <c r="C48" s="16">
        <f>COUNTIF(Mosquito!$G$10,"Very Good")+COUNTIF(Body!$H$10,"Very Good")+COUNTIF(Quechua!$G$10,"Very Good")+COUNTIF(Melanoma!$G$10,"Very Good")+COUNTIF(Leaf!$G$10,"Very Good")+COUNTIF(Antimicrobial!$G$10,"Very Good")+COUNTIF(Albanian!$G$10,"Very Good")+COUNTIF(Prostate!$G$10,"Very Good")+COUNTIF(Kenya!$G$10,"Very Good")+COUNTIF(Indonesia!$G$10,"Very Good")+COUNTIF(Lontar!$G$10,"Very Good")+COUNTIF(Kurdish!$G$10,"Very Good")</f>
        <v>7</v>
      </c>
      <c r="D48" s="141">
        <f>(C48+C49)/SUM(C48:C52)</f>
        <v>1</v>
      </c>
    </row>
    <row r="49" spans="1:4" x14ac:dyDescent="0.2">
      <c r="A49" s="139"/>
      <c r="B49" s="4" t="s">
        <v>0</v>
      </c>
      <c r="C49" s="16">
        <f>COUNTIF(Mosquito!$G$10,"Good")+COUNTIF(Body!$H$10,"Good")+COUNTIF(Quechua!$G$10,"Good")+COUNTIF(Melanoma!$G$10,"Good")+COUNTIF(Leaf!$G$10,"Good")+COUNTIF(Antimicrobial!$G$10,"Good")+COUNTIF(Albanian!$G$10,"Good")+COUNTIF(Prostate!$G$10,"Good")+COUNTIF(Kenya!$G$10,"Good")+COUNTIF(Indonesia!$G$10,"Good")+COUNTIF(Lontar!$G$10,"Good")+COUNTIF(Kurdish!$G$10,"Good")</f>
        <v>3</v>
      </c>
      <c r="D49" s="142"/>
    </row>
    <row r="50" spans="1:4" x14ac:dyDescent="0.2">
      <c r="A50" s="139"/>
      <c r="B50" s="5" t="s">
        <v>4</v>
      </c>
      <c r="C50" s="16">
        <f>COUNTIF(Mosquito!$G$10,"Fair")+COUNTIF(Body!$H$10,"Fair")+COUNTIF(Quechua!$G$10,"Fair")+COUNTIF(Melanoma!$G$10,"Fair")+COUNTIF(Leaf!$G$10,"Fair")+COUNTIF(Antimicrobial!$G$10,"Fair")+COUNTIF(Albanian!$G$10,"Fair")+COUNTIF(Prostate!$G$10,"fair")+COUNTIF(Kenya!$G$10,"fair")+COUNTIF(Indonesia!$G$10,"fair")+COUNTIF(Lontar!$G$10,"Fair")+COUNTIF(Kurdish!$G$10,"Fair")</f>
        <v>0</v>
      </c>
      <c r="D50" s="143">
        <f>(C50+C51)/SUM(C48:C52)</f>
        <v>0</v>
      </c>
    </row>
    <row r="51" spans="1:4" x14ac:dyDescent="0.2">
      <c r="A51" s="139"/>
      <c r="B51" s="6" t="s">
        <v>1</v>
      </c>
      <c r="C51" s="16">
        <f>COUNTIF(Mosquito!$G$10,"Bad")+COUNTIF(Body!$H$10,"Bad")+COUNTIF(Quechua!$G$10,"Bad")+COUNTIF(Melanoma!$G$10,"Bad")+COUNTIF(Leaf!$G$10,"Bad")+COUNTIF(Antimicrobial!$G$10,"Bad")+COUNTIF(Albanian!$G$10,"Bad")+COUNTIF(Prostate!$G$10,"Bad")+COUNTIF(Kenya!$G$10,"Bad")+COUNTIF(Indonesia!$G$10,"Bad")+COUNTIF(Lontar!$G$10,"Bad")+COUNTIF(Kurdish!$G$10,"Bad")</f>
        <v>0</v>
      </c>
      <c r="D51" s="144"/>
    </row>
    <row r="52" spans="1:4" x14ac:dyDescent="0.2">
      <c r="A52" s="140"/>
      <c r="B52" s="7" t="s">
        <v>2</v>
      </c>
      <c r="C52" s="16">
        <f>COUNTIF(Mosquito!$G$10,"Hallucinate")+COUNTIF(Body!$H$10,"Hallucinate")+COUNTIF(Quechua!$G$10,"Hallucinate")+COUNTIF(Melanoma!$G$10,"Hallucinate")+COUNTIF(Leaf!$G$10,"Hallucinate")+COUNTIF(Antimicrobial!$G$10,"Hallucinate")+COUNTIF(Albanian!$G$10,"Hallucinate")+COUNTIF(Prostate!$G$10,"Hallucinate")+COUNTIF(Kenya!$G$10,"Hallucinate")+COUNTIF(Indonesia!$G$10,"Hallucinate")+COUNTIF(Lontar!$G$10,"Hallucinate")+COUNTIF(Kurdish!$G$10,"Hallucinate")</f>
        <v>0</v>
      </c>
      <c r="D52" s="10">
        <f>(C52)/SUM(C48:C52)</f>
        <v>0</v>
      </c>
    </row>
    <row r="53" spans="1:4" ht="21" x14ac:dyDescent="0.25">
      <c r="A53" s="13" t="s">
        <v>24</v>
      </c>
      <c r="B53" s="137" t="s">
        <v>13</v>
      </c>
      <c r="C53" s="137"/>
      <c r="D53" s="137"/>
    </row>
    <row r="54" spans="1:4" x14ac:dyDescent="0.2">
      <c r="A54" s="11" t="s">
        <v>5</v>
      </c>
      <c r="B54" s="11" t="s">
        <v>5</v>
      </c>
      <c r="C54" s="8" t="s">
        <v>192</v>
      </c>
      <c r="D54" s="8" t="s">
        <v>193</v>
      </c>
    </row>
    <row r="55" spans="1:4" x14ac:dyDescent="0.2">
      <c r="A55" s="138" t="s">
        <v>76</v>
      </c>
      <c r="B55" s="3" t="s">
        <v>3</v>
      </c>
      <c r="C55" s="16">
        <f>COUNTIF(Mosquito!$G$11,"Very Good")+COUNTIF(Body!$H$11,"Very Good")+COUNTIF(Quechua!$G$11,"Very Good")+COUNTIF(Melanoma!$G$11,"Very Good")+COUNTIF(Leaf!$G$11,"Very Good")+COUNTIF(Antimicrobial!$G$11,"Very Good")+COUNTIF(Albanian!$G$11,"Very Good")+COUNTIF(Prostate!$G$11,"Very Good")+COUNTIF(Kenya!$G$11,"Very Good")+COUNTIF(Indonesia!$G$11,"Very Good")+COUNTIF(Lontar!$G$11,"Very Good")+COUNTIF(Kurdish!$G$11,"Very Good")</f>
        <v>3</v>
      </c>
      <c r="D55" s="141">
        <f>(C55+C56)/SUM(C55:C59)</f>
        <v>0.91666666666666663</v>
      </c>
    </row>
    <row r="56" spans="1:4" x14ac:dyDescent="0.2">
      <c r="A56" s="139"/>
      <c r="B56" s="4" t="s">
        <v>0</v>
      </c>
      <c r="C56" s="16">
        <f>COUNTIF(Mosquito!$G$11,"Good")+COUNTIF(Body!$H$11,"Good")+COUNTIF(Quechua!$G$11,"Good")+COUNTIF(Melanoma!$G$11,"Good")+COUNTIF(Leaf!$G$11,"Good")+COUNTIF(Antimicrobial!$G$11,"Good")+COUNTIF(Albanian!$G$11,"Good")+COUNTIF(Prostate!$G$11,"Good")+COUNTIF(Kenya!$G$11,"Good")+COUNTIF(Indonesia!$G$11,"Good")+COUNTIF(Lontar!$G$11,"Good")+COUNTIF(Kurdish!$G$11,"Good")</f>
        <v>8</v>
      </c>
      <c r="D56" s="142"/>
    </row>
    <row r="57" spans="1:4" x14ac:dyDescent="0.2">
      <c r="A57" s="139"/>
      <c r="B57" s="5" t="s">
        <v>4</v>
      </c>
      <c r="C57" s="16">
        <f>COUNTIF(Mosquito!$G$11,"Fair")+COUNTIF(Body!$H$11,"Fair")+COUNTIF(Quechua!$G$11,"Fair")+COUNTIF(Melanoma!$G$11,"Fair")+COUNTIF(Leaf!$G$11,"Fair")+COUNTIF(Antimicrobial!$G$11,"Fair")+COUNTIF(Albanian!$G$11,"Fair")+COUNTIF(Prostate!$G$11,"fair")+COUNTIF(Kenya!$G$11,"fair")+COUNTIF(Indonesia!$G$11,"fair")+COUNTIF(Lontar!$G$11,"Fair")+COUNTIF(Kurdish!$G$11,"Fair")</f>
        <v>1</v>
      </c>
      <c r="D57" s="143">
        <f>(C57+C58)/SUM(C55:C59)</f>
        <v>8.3333333333333329E-2</v>
      </c>
    </row>
    <row r="58" spans="1:4" x14ac:dyDescent="0.2">
      <c r="A58" s="139"/>
      <c r="B58" s="6" t="s">
        <v>1</v>
      </c>
      <c r="C58" s="16">
        <f>COUNTIF(Mosquito!$G$11,"Bad")+COUNTIF(Body!$H$11,"Bad")+COUNTIF(Quechua!$G$11,"Bad")+COUNTIF(Melanoma!$G$11,"Bad")+COUNTIF(Leaf!$G$11,"Bad")+COUNTIF(Antimicrobial!$G$11,"Bad")+COUNTIF(Albanian!$G$11,"Bad")+COUNTIF(Prostate!$G$11,"Bad")+COUNTIF(Kenya!$G$11,"Bad")+COUNTIF(Indonesia!$G$11,"Bad")+COUNTIF(Lontar!$G$11,"Bad")+COUNTIF(Kurdish!$G$11,"Bad")</f>
        <v>0</v>
      </c>
      <c r="D58" s="144"/>
    </row>
    <row r="59" spans="1:4" x14ac:dyDescent="0.2">
      <c r="A59" s="140"/>
      <c r="B59" s="7" t="s">
        <v>2</v>
      </c>
      <c r="C59" s="16">
        <f>COUNTIF(Mosquito!$G$11,"Hallucinate")+COUNTIF(Body!$H$11,"Hallucinate")+COUNTIF(Quechua!$G$11,"Hallucinate")+COUNTIF(Melanoma!$G$11,"Hallucinate")+COUNTIF(Leaf!$G$11,"Hallucinate")+COUNTIF(Antimicrobial!$G$11,"Hallucinate")+COUNTIF(Albanian!$G$11,"Hallucinate")+COUNTIF(Prostate!$G$11,"Hallucinate")+COUNTIF(Kenya!$G$11,"Hallucinate")+COUNTIF(Indonesia!$G$11,"Hallucinate")+COUNTIF(Lontar!$G$11,"Hallucinate")+COUNTIF(Kurdish!$G$11,"Hallucinate")</f>
        <v>0</v>
      </c>
      <c r="D59" s="10">
        <f>(C59)/SUM(C55:C59)</f>
        <v>0</v>
      </c>
    </row>
    <row r="60" spans="1:4" x14ac:dyDescent="0.2">
      <c r="A60" s="138" t="s">
        <v>74</v>
      </c>
      <c r="B60" s="3" t="s">
        <v>3</v>
      </c>
      <c r="C60" s="16">
        <f>COUNTIF(Mosquito!$G$12,"Very Good")+COUNTIF(Body!$H$12,"Very Good")+COUNTIF(Quechua!$G$12,"Very Good")+COUNTIF(Melanoma!$G$12,"Very Good")+COUNTIF(Leaf!$G$12,"Very Good")+COUNTIF(Antimicrobial!$G$12,"Very Good")+COUNTIF(Albanian!$G$12,"Very Good")+COUNTIF(Prostate!$G$12,"Very Good")+COUNTIF(Kenya!$G$12,"Very Good")+COUNTIF(Indonesia!$G$12,"Very Good")+COUNTIF(Lontar!$G$12,"Very Good")+COUNTIF(Kurdish!$G$12,"Very Good")</f>
        <v>6</v>
      </c>
      <c r="D60" s="141">
        <f>(C60+C61)/SUM(C60:C64)</f>
        <v>0.83333333333333337</v>
      </c>
    </row>
    <row r="61" spans="1:4" x14ac:dyDescent="0.2">
      <c r="A61" s="139"/>
      <c r="B61" s="4" t="s">
        <v>0</v>
      </c>
      <c r="C61" s="16">
        <f>COUNTIF(Mosquito!$G$12,"Good")+COUNTIF(Body!$H$12,"Good")+COUNTIF(Quechua!$G$12,"Good")+COUNTIF(Melanoma!$G$12,"Good")+COUNTIF(Leaf!$G$12,"Good")+COUNTIF(Antimicrobial!$G$12,"Good")+COUNTIF(Albanian!$G$12,"Good")+COUNTIF(Prostate!$G$12,"Good")+COUNTIF(Kenya!$G$12,"Good")+COUNTIF(Indonesia!$G$12,"Good")+COUNTIF(Lontar!$G$12,"Good")+COUNTIF(Kurdish!$G$12,"Good")</f>
        <v>4</v>
      </c>
      <c r="D61" s="142"/>
    </row>
    <row r="62" spans="1:4" x14ac:dyDescent="0.2">
      <c r="A62" s="139"/>
      <c r="B62" s="5" t="s">
        <v>4</v>
      </c>
      <c r="C62" s="16">
        <f>COUNTIF(Mosquito!$G$12,"Fair")+COUNTIF(Body!$H$12,"Fair")+COUNTIF(Quechua!$G$12,"Fair")+COUNTIF(Melanoma!$G$12,"Fair")+COUNTIF(Leaf!$G$12,"Fair")+COUNTIF(Antimicrobial!$G$12,"Fair")+COUNTIF(Albanian!$G$12,"Fair")+COUNTIF(Prostate!$G$12,"fair")+COUNTIF(Kenya!$G$12,"fair")+COUNTIF(Indonesia!$G$12,"fair")+COUNTIF(Lontar!$G$12,"Fair")+COUNTIF(Kurdish!$G$12,"Fair")</f>
        <v>0</v>
      </c>
      <c r="D62" s="143">
        <f>(C62+C63)/SUM(C60:C64)</f>
        <v>0.16666666666666666</v>
      </c>
    </row>
    <row r="63" spans="1:4" x14ac:dyDescent="0.2">
      <c r="A63" s="139"/>
      <c r="B63" s="6" t="s">
        <v>1</v>
      </c>
      <c r="C63" s="16">
        <f>COUNTIF(Mosquito!$G$12,"Bad")+COUNTIF(Body!$H$12,"Bad")+COUNTIF(Quechua!$G$12,"Bad")+COUNTIF(Melanoma!$G$12,"Bad")+COUNTIF(Leaf!$G$12,"Bad")+COUNTIF(Antimicrobial!$G$12,"Bad")+COUNTIF(Albanian!$G$12,"Bad")+COUNTIF(Prostate!$G$12,"Bad")+COUNTIF(Kenya!$G$12,"Bad")+COUNTIF(Indonesia!$G$12,"Bad")+COUNTIF(Lontar!$G$12,"Bad")+COUNTIF(Kurdish!$G$12,"Bad")</f>
        <v>2</v>
      </c>
      <c r="D63" s="144"/>
    </row>
    <row r="64" spans="1:4" x14ac:dyDescent="0.2">
      <c r="A64" s="140"/>
      <c r="B64" s="7" t="s">
        <v>2</v>
      </c>
      <c r="C64" s="16">
        <f>COUNTIF(Mosquito!$G$12,"Hallucinate")+COUNTIF(Body!$H$12,"Hallucinate")+COUNTIF(Quechua!$G$12,"Hallucinate")+COUNTIF(Melanoma!$G$12,"Hallucinate")+COUNTIF(Leaf!$G$12,"Hallucinate")+COUNTIF(Antimicrobial!$G$12,"Hallucinate")+COUNTIF(Albanian!$G$12,"Hallucinate")+COUNTIF(Prostate!$G$12,"Hallucinate")+COUNTIF(Kenya!$G$12,"Hallucinate")+COUNTIF(Indonesia!$G$12,"Hallucinate")+COUNTIF(Lontar!$G$12,"Hallucinate")+COUNTIF(Kurdish!$G$12,"Hallucinate")</f>
        <v>0</v>
      </c>
      <c r="D64" s="10">
        <f>(C64)/SUM(C60:C64)</f>
        <v>0</v>
      </c>
    </row>
    <row r="65" spans="1:4" x14ac:dyDescent="0.2">
      <c r="A65" s="138" t="s">
        <v>196</v>
      </c>
      <c r="B65" s="3" t="s">
        <v>3</v>
      </c>
      <c r="C65" s="16">
        <f>COUNTIF(Mosquito!$G$13,"Very Good")+COUNTIF(Body!$H$13,"Very Good")+COUNTIF(Quechua!$G$13,"Very Good")+COUNTIF(Melanoma!$G$13,"Very Good")+COUNTIF(Leaf!$G$13,"Very Good")+COUNTIF(Antimicrobial!$G$13,"Very Good")+COUNTIF(Albanian!$G$13,"Very Good")+COUNTIF(Prostate!$G$13,"Very Good")+COUNTIF(Kenya!$G$13,"Very Good")+COUNTIF(Indonesia!$G$13,"Very Good")+COUNTIF(Lontar!$G$13,"Very Good")+COUNTIF(Kurdish!$G$13,"Very Good")</f>
        <v>3</v>
      </c>
      <c r="D65" s="141">
        <f>(C65+C66)/SUM(C65:C69)</f>
        <v>1</v>
      </c>
    </row>
    <row r="66" spans="1:4" x14ac:dyDescent="0.2">
      <c r="A66" s="139"/>
      <c r="B66" s="4" t="s">
        <v>0</v>
      </c>
      <c r="C66" s="16">
        <f>COUNTIF(Mosquito!$G$13,"Good")+COUNTIF(Body!$H$13,"Good")+COUNTIF(Quechua!$G$13,"Good")+COUNTIF(Melanoma!$G$13,"Good")+COUNTIF(Leaf!$G$13,"Good")+COUNTIF(Antimicrobial!$G$13,"Good")+COUNTIF(Albanian!$G$13,"Good")+COUNTIF(Prostate!$G$13,"Good")+COUNTIF(Kenya!$G$13,"Good")+COUNTIF(Indonesia!$G$13,"Good")+COUNTIF(Lontar!$G$13,"Good")+COUNTIF(Kurdish!$G$13,"Good")</f>
        <v>9</v>
      </c>
      <c r="D66" s="142"/>
    </row>
    <row r="67" spans="1:4" x14ac:dyDescent="0.2">
      <c r="A67" s="139"/>
      <c r="B67" s="5" t="s">
        <v>4</v>
      </c>
      <c r="C67" s="16">
        <f>COUNTIF(Mosquito!$G$13,"Fair")+COUNTIF(Body!$H$13,"Fair")+COUNTIF(Quechua!$G$13,"Fair")+COUNTIF(Melanoma!$G$13,"Fair")+COUNTIF(Leaf!$G$13,"Fair")+COUNTIF(Antimicrobial!$G$13,"Fair")+COUNTIF(Albanian!$G$13,"Fair")+COUNTIF(Prostate!$G$13,"fair")+COUNTIF(Kenya!$G$13,"fair")+COUNTIF(Indonesia!$G$13,"fair")+COUNTIF(Lontar!$G$13,"Fair")+COUNTIF(Kurdish!$G$13,"Fair")</f>
        <v>0</v>
      </c>
      <c r="D67" s="143">
        <f>(C67+C68)/SUM(C65:C69)</f>
        <v>0</v>
      </c>
    </row>
    <row r="68" spans="1:4" x14ac:dyDescent="0.2">
      <c r="A68" s="139"/>
      <c r="B68" s="6" t="s">
        <v>1</v>
      </c>
      <c r="C68" s="16">
        <f>COUNTIF(Mosquito!$G$13,"Bad")+COUNTIF(Body!$H$13,"Bad")+COUNTIF(Quechua!$G$13,"Bad")+COUNTIF(Melanoma!$G$13,"Bad")+COUNTIF(Leaf!$G$13,"Bad")+COUNTIF(Antimicrobial!$G$13,"Bad")+COUNTIF(Albanian!$G$13,"Bad")+COUNTIF(Prostate!$G$13,"Bad")+COUNTIF(Kenya!$G$13,"Bad")+COUNTIF(Indonesia!$G$13,"Bad")+COUNTIF(Lontar!$G$13,"Bad")+COUNTIF(Kurdish!$G$13,"Bad")</f>
        <v>0</v>
      </c>
      <c r="D68" s="144"/>
    </row>
    <row r="69" spans="1:4" x14ac:dyDescent="0.2">
      <c r="A69" s="140"/>
      <c r="B69" s="7" t="s">
        <v>2</v>
      </c>
      <c r="C69" s="16">
        <f>COUNTIF(Mosquito!$G$13,"Hallucinate")+COUNTIF(Body!$H$13,"Hallucinate")+COUNTIF(Quechua!$G$13,"Hallucinate")+COUNTIF(Melanoma!$G$13,"Hallucinate")+COUNTIF(Leaf!$G$13,"Hallucinate")+COUNTIF(Antimicrobial!$G$13,"Hallucinate")+COUNTIF(Albanian!$G$13,"Hallucinate")+COUNTIF(Prostate!$G$13,"Hallucinate")+COUNTIF(Kenya!$G$13,"Hallucinate")+COUNTIF(Indonesia!$G$13,"Hallucinate")+COUNTIF(Lontar!$G$13,"Hallucinate")+COUNTIF(Kurdish!$G$13,"Hallucinate")</f>
        <v>0</v>
      </c>
      <c r="D69" s="10">
        <f>(C69)/SUM(C65:C69)</f>
        <v>0</v>
      </c>
    </row>
    <row r="70" spans="1:4" ht="21" x14ac:dyDescent="0.25">
      <c r="A70" s="13" t="s">
        <v>24</v>
      </c>
      <c r="B70" s="137" t="s">
        <v>14</v>
      </c>
      <c r="C70" s="137"/>
      <c r="D70" s="137"/>
    </row>
    <row r="71" spans="1:4" x14ac:dyDescent="0.2">
      <c r="A71" s="11" t="s">
        <v>5</v>
      </c>
      <c r="B71" s="11" t="s">
        <v>5</v>
      </c>
      <c r="C71" s="8" t="s">
        <v>192</v>
      </c>
      <c r="D71" s="8" t="s">
        <v>193</v>
      </c>
    </row>
    <row r="72" spans="1:4" x14ac:dyDescent="0.2">
      <c r="A72" s="138" t="s">
        <v>197</v>
      </c>
      <c r="B72" s="3" t="s">
        <v>3</v>
      </c>
      <c r="C72" s="16">
        <f>COUNTIF(Mosquito!$G$15,"Very Good")+COUNTIF(Body!$H$15,"Very Good")+COUNTIF(Quechua!$G$15,"Very Good")+COUNTIF(Melanoma!$G$15,"Very Good")+COUNTIF(Leaf!$G$15,"Very Good")+COUNTIF(Antimicrobial!$G$15,"Very Good")+COUNTIF(Albanian!$G$15,"Very Good")+COUNTIF(Prostate!$G$15,"Very Good")+COUNTIF(Kenya!$G$15,"Very Good")+COUNTIF(Indonesia!$G$15,"Very Good")+COUNTIF(Lontar!$G$15,"Very Good")+COUNTIF(Kurdish!$G$15,"Very Good")</f>
        <v>6</v>
      </c>
      <c r="D72" s="141">
        <f>(C72+C73)/SUM(C72:C76)</f>
        <v>0.91666666666666663</v>
      </c>
    </row>
    <row r="73" spans="1:4" x14ac:dyDescent="0.2">
      <c r="A73" s="139"/>
      <c r="B73" s="4" t="s">
        <v>0</v>
      </c>
      <c r="C73" s="16">
        <f>COUNTIF(Mosquito!$G$15,"Good")+COUNTIF(Body!$H$15,"Good")+COUNTIF(Quechua!$G$15,"Good")+COUNTIF(Melanoma!$G$15,"Good")+COUNTIF(Leaf!$G$15,"Good")+COUNTIF(Antimicrobial!$G$15,"Good")+COUNTIF(Albanian!$G$15,"Good")+COUNTIF(Prostate!$G$15,"Good")+COUNTIF(Kenya!$G$15,"Good")+COUNTIF(Indonesia!$G$15,"Good")+COUNTIF(Lontar!$G$15,"Good")+COUNTIF(Kurdish!$G$15,"Good")</f>
        <v>5</v>
      </c>
      <c r="D73" s="142"/>
    </row>
    <row r="74" spans="1:4" x14ac:dyDescent="0.2">
      <c r="A74" s="139"/>
      <c r="B74" s="5" t="s">
        <v>4</v>
      </c>
      <c r="C74" s="16">
        <f>COUNTIF(Mosquito!$G$15,"Fair")+COUNTIF(Body!$H$15,"Fair")+COUNTIF(Quechua!$G$15,"Fair")+COUNTIF(Melanoma!$G$15,"Fair")+COUNTIF(Leaf!$G$15,"Fair")+COUNTIF(Antimicrobial!$G$15,"Fair")+COUNTIF(Albanian!$G$15,"Fair")+COUNTIF(Prostate!$G$15,"fair")+COUNTIF(Kenya!$G$15,"fair")+COUNTIF(Indonesia!$G$15,"fair")+COUNTIF(Lontar!$G$15,"Fair")+COUNTIF(Kurdish!$G$15,"Fair")</f>
        <v>1</v>
      </c>
      <c r="D74" s="143">
        <f>(C74+C75)/SUM(C72:C76)</f>
        <v>8.3333333333333329E-2</v>
      </c>
    </row>
    <row r="75" spans="1:4" x14ac:dyDescent="0.2">
      <c r="A75" s="139"/>
      <c r="B75" s="6" t="s">
        <v>1</v>
      </c>
      <c r="C75" s="16">
        <f>COUNTIF(Mosquito!$G$15,"Bad")+COUNTIF(Body!$H$15,"Bad")+COUNTIF(Quechua!$G$15,"Bad")+COUNTIF(Melanoma!$G$15,"Bad")+COUNTIF(Leaf!$G$15,"Bad")+COUNTIF(Antimicrobial!$G$15,"Bad")+COUNTIF(Albanian!$G$15,"Bad")+COUNTIF(Prostate!$G$15,"Bad")+COUNTIF(Kenya!$G$15,"Bad")+COUNTIF(Indonesia!$G$15,"Bad")+COUNTIF(Lontar!$G$15,"Bad")+COUNTIF(Kurdish!$G$15,"Bad")</f>
        <v>0</v>
      </c>
      <c r="D75" s="144"/>
    </row>
    <row r="76" spans="1:4" x14ac:dyDescent="0.2">
      <c r="A76" s="140"/>
      <c r="B76" s="7" t="s">
        <v>2</v>
      </c>
      <c r="C76" s="16">
        <f>COUNTIF(Mosquito!$G$15,"Hallucinate")+COUNTIF(Body!$H$15,"Hallucinate")+COUNTIF(Quechua!$G$15,"Hallucinate")+COUNTIF(Melanoma!$G$15,"Hallucinate")+COUNTIF(Leaf!$G$15,"Hallucinate")+COUNTIF(Antimicrobial!$G$15,"Hallucinate")+COUNTIF(Albanian!$G$15,"Hallucinate")+COUNTIF(Prostate!$G$15,"Hallucinate")+COUNTIF(Kenya!$G$15,"Hallucinate")+COUNTIF(Indonesia!$G$15,"Hallucinate")+COUNTIF(Lontar!$G$15,"Hallucinate")+COUNTIF(Kurdish!$G$15,"Hallucinate")</f>
        <v>0</v>
      </c>
      <c r="D76" s="10">
        <f>(C76)/SUM(C72:C76)</f>
        <v>0</v>
      </c>
    </row>
    <row r="77" spans="1:4" x14ac:dyDescent="0.2">
      <c r="A77" s="138" t="s">
        <v>198</v>
      </c>
      <c r="B77" s="3" t="s">
        <v>3</v>
      </c>
      <c r="C77" s="16">
        <f>COUNTIF(Mosquito!$G$16,"Very Good")+COUNTIF(Body!$H$16,"Very Good")+COUNTIF(Quechua!$G$16,"Very Good")+COUNTIF(Melanoma!$G$16,"Very Good")+COUNTIF(Leaf!$G$16,"Very Good")+COUNTIF(Antimicrobial!$G$16,"Very Good")+COUNTIF(Albanian!$G$16,"Very Good")+COUNTIF(Prostate!$G$16,"Very Good")+COUNTIF(Kenya!$G$16,"Very Good")+COUNTIF(Indonesia!$G$16,"Very Good")+COUNTIF(Lontar!$G$16,"Very Good")+COUNTIF(Kurdish!$G$16,"Very Good")</f>
        <v>5</v>
      </c>
      <c r="D77" s="141">
        <f>(C77+C78)/SUM(C77:C81)</f>
        <v>1</v>
      </c>
    </row>
    <row r="78" spans="1:4" x14ac:dyDescent="0.2">
      <c r="A78" s="139"/>
      <c r="B78" s="4" t="s">
        <v>0</v>
      </c>
      <c r="C78" s="16">
        <f>COUNTIF(Mosquito!$G$16,"Good")+COUNTIF(Body!$H$16,"Good")+COUNTIF(Quechua!$G$16,"Good")+COUNTIF(Melanoma!$G$16,"Good")+COUNTIF(Leaf!$G$16,"Good")+COUNTIF(Antimicrobial!$G$16,"Good")+COUNTIF(Albanian!$G$16,"Good")+COUNTIF(Prostate!$G$16,"Good")+COUNTIF(Kenya!$G$16,"Good")+COUNTIF(Indonesia!$G$16,"Good")+COUNTIF(Lontar!$G$16,"Good")+COUNTIF(Kurdish!$G$16,"Good")</f>
        <v>7</v>
      </c>
      <c r="D78" s="142"/>
    </row>
    <row r="79" spans="1:4" x14ac:dyDescent="0.2">
      <c r="A79" s="139"/>
      <c r="B79" s="5" t="s">
        <v>4</v>
      </c>
      <c r="C79" s="16">
        <f>COUNTIF(Mosquito!$G$16,"Fair")+COUNTIF(Body!$H$16,"Fair")+COUNTIF(Quechua!$G$16,"Fair")+COUNTIF(Melanoma!$G$16,"Fair")+COUNTIF(Leaf!$G$16,"Fair")+COUNTIF(Antimicrobial!$G$16,"Fair")+COUNTIF(Albanian!$G$16,"Fair")+COUNTIF(Prostate!$G$16,"fair")+COUNTIF(Kenya!$G$16,"fair")+COUNTIF(Indonesia!$G$16,"fair")+COUNTIF(Lontar!$G$16,"Fair")+COUNTIF(Kurdish!$G$16,"Fair")</f>
        <v>0</v>
      </c>
      <c r="D79" s="143">
        <f>(C79+C80)/SUM(C77:C81)</f>
        <v>0</v>
      </c>
    </row>
    <row r="80" spans="1:4" x14ac:dyDescent="0.2">
      <c r="A80" s="139"/>
      <c r="B80" s="6" t="s">
        <v>1</v>
      </c>
      <c r="C80" s="16">
        <f>COUNTIF(Mosquito!$G$16,"Bad")+COUNTIF(Body!$H$16,"Bad")+COUNTIF(Quechua!$G$16,"Bad")+COUNTIF(Melanoma!$G$16,"Bad")+COUNTIF(Leaf!$G$16,"Bad")+COUNTIF(Antimicrobial!$G$16,"Bad")+COUNTIF(Albanian!$G$16,"Bad")+COUNTIF(Prostate!$G$16,"Bad")+COUNTIF(Kenya!$G$16,"Bad")+COUNTIF(Indonesia!$G$16,"Bad")+COUNTIF(Lontar!$G$16,"Bad")+COUNTIF(Kurdish!$G$16,"Bad")</f>
        <v>0</v>
      </c>
      <c r="D80" s="144"/>
    </row>
    <row r="81" spans="1:4" x14ac:dyDescent="0.2">
      <c r="A81" s="140"/>
      <c r="B81" s="7" t="s">
        <v>2</v>
      </c>
      <c r="C81" s="16">
        <f>COUNTIF(Mosquito!$G$16,"Hallucinate")+COUNTIF(Body!$H$16,"Hallucinate")+COUNTIF(Quechua!$G$16,"Hallucinate")+COUNTIF(Melanoma!$G$16,"Hallucinate")+COUNTIF(Leaf!$G$16,"Hallucinate")+COUNTIF(Antimicrobial!$G$16,"Hallucinate")+COUNTIF(Albanian!$G$16,"Hallucinate")+COUNTIF(Prostate!$G$16,"Hallucinate")+COUNTIF(Kenya!$G$16,"Hallucinate")+COUNTIF(Indonesia!$G$16,"Hallucinate")+COUNTIF(Lontar!$G$16,"Hallucinate")+COUNTIF(Kurdish!$G$16,"Hallucinate")</f>
        <v>0</v>
      </c>
      <c r="D81" s="10">
        <f>(C81)/SUM(C77:C81)</f>
        <v>0</v>
      </c>
    </row>
    <row r="82" spans="1:4" x14ac:dyDescent="0.2">
      <c r="A82" s="138" t="s">
        <v>199</v>
      </c>
      <c r="B82" s="3" t="s">
        <v>3</v>
      </c>
      <c r="C82" s="16">
        <f>COUNTIF(Mosquito!$G$18,"Very Good")+COUNTIF(Body!$H$18,"Very Good")+COUNTIF(Quechua!$G$18,"Very Good")+COUNTIF(Melanoma!$G$18,"Very Good")+COUNTIF(Leaf!$G$18,"Very Good")+COUNTIF(Antimicrobial!$G$18,"Very Good")+COUNTIF(Albanian!$G$18,"Very Good")+COUNTIF(Prostate!$G$18,"Very Good")+COUNTIF(Kenya!$G$18,"Very Good")+COUNTIF(Indonesia!$G$18,"Very Good")+COUNTIF(Lontar!$G$18,"Very Good")+COUNTIF(Kurdish!$G$18,"Very Good")</f>
        <v>0</v>
      </c>
      <c r="D82" s="141">
        <f>(C82+C83)/SUM(C82:C86)</f>
        <v>0.5</v>
      </c>
    </row>
    <row r="83" spans="1:4" x14ac:dyDescent="0.2">
      <c r="A83" s="139"/>
      <c r="B83" s="4" t="s">
        <v>0</v>
      </c>
      <c r="C83" s="16">
        <f>COUNTIF(Mosquito!$G$18,"Good")+COUNTIF(Body!$H$18,"Good")+COUNTIF(Quechua!$G$18,"Good")+COUNTIF(Melanoma!$G$18,"Good")+COUNTIF(Leaf!$G$18,"Good")+COUNTIF(Antimicrobial!$G$18,"Good")+COUNTIF(Albanian!$G$18,"Good")+COUNTIF(Prostate!$G$18,"Good")+COUNTIF(Kenya!$G$18,"Good")+COUNTIF(Indonesia!$G$18,"Good")+COUNTIF(Lontar!$G$18,"Good")+COUNTIF(Kurdish!$G$18,"Good")</f>
        <v>6</v>
      </c>
      <c r="D83" s="142"/>
    </row>
    <row r="84" spans="1:4" x14ac:dyDescent="0.2">
      <c r="A84" s="139"/>
      <c r="B84" s="5" t="s">
        <v>4</v>
      </c>
      <c r="C84" s="16">
        <f>COUNTIF(Mosquito!$G$18,"Fair")+COUNTIF(Body!$H$18,"Fair")+COUNTIF(Quechua!$G$18,"Fair")+COUNTIF(Melanoma!$G$18,"Fair")+COUNTIF(Leaf!$G$18,"Fair")+COUNTIF(Antimicrobial!$G$18,"Fair")+COUNTIF(Albanian!$G$18,"Fair")+COUNTIF(Prostate!$G$18,"fair")+COUNTIF(Kenya!$G$18,"fair")+COUNTIF(Indonesia!$G$18,"fair")+COUNTIF(Lontar!$G$18,"Fair")+COUNTIF(Kurdish!$G$18,"Fair")</f>
        <v>0</v>
      </c>
      <c r="D84" s="143">
        <f>(C84+C85)/SUM(C82:C86)</f>
        <v>0.33333333333333331</v>
      </c>
    </row>
    <row r="85" spans="1:4" x14ac:dyDescent="0.2">
      <c r="A85" s="139"/>
      <c r="B85" s="6" t="s">
        <v>1</v>
      </c>
      <c r="C85" s="16">
        <f>COUNTIF(Mosquito!$G$18,"Bad")+COUNTIF(Body!$H$18,"Bad")+COUNTIF(Quechua!$G$18,"Bad")+COUNTIF(Melanoma!$G$18,"Bad")+COUNTIF(Leaf!$G$18,"Bad")+COUNTIF(Antimicrobial!$G$18,"Bad")+COUNTIF(Albanian!$G$18,"Bad")+COUNTIF(Prostate!$G$18,"Bad")+COUNTIF(Kenya!$G$18,"Bad")+COUNTIF(Indonesia!$G$18,"Bad")+COUNTIF(Lontar!$G$18,"Bad")+COUNTIF(Kurdish!$G$18,"Bad")</f>
        <v>4</v>
      </c>
      <c r="D85" s="144"/>
    </row>
    <row r="86" spans="1:4" x14ac:dyDescent="0.2">
      <c r="A86" s="140"/>
      <c r="B86" s="7" t="s">
        <v>2</v>
      </c>
      <c r="C86" s="16">
        <f>COUNTIF(Mosquito!$G$18,"Hallucinate")+COUNTIF(Body!$H$18,"Hallucinate")+COUNTIF(Quechua!$G$18,"Hallucinate")+COUNTIF(Melanoma!$G$18,"Hallucinate")+COUNTIF(Leaf!$G$18,"Hallucinate")+COUNTIF(Antimicrobial!$G$18,"Hallucinate")+COUNTIF(Albanian!$G$18,"Hallucinate")+COUNTIF(Prostate!$G$18,"Hallucinate")+COUNTIF(Kenya!$G$18,"Hallucinate")+COUNTIF(Indonesia!$G$18,"Hallucinate")+COUNTIF(Lontar!$G$18,"Hallucinate")+COUNTIF(Kurdish!$G$18,"Hallucinate")</f>
        <v>2</v>
      </c>
      <c r="D86" s="10">
        <f>(C86)/SUM(C82:C86)</f>
        <v>0.16666666666666666</v>
      </c>
    </row>
    <row r="87" spans="1:4" x14ac:dyDescent="0.2">
      <c r="A87" s="138" t="s">
        <v>17</v>
      </c>
      <c r="B87" s="3" t="s">
        <v>3</v>
      </c>
      <c r="C87" s="16">
        <f>COUNTIF(Mosquito!$G$19,"Very Good")+COUNTIF(Body!$H$19,"Very Good")+COUNTIF(Quechua!$G$19,"Very Good")+COUNTIF(Melanoma!$G$19,"Very Good")+COUNTIF(Leaf!$G$19,"Very Good")+COUNTIF(Antimicrobial!$G$19,"Very Good")+COUNTIF(Albanian!$G$19,"Very Good")+COUNTIF(Prostate!$G$19,"Very Good")+COUNTIF(Kenya!$G$19,"Very Good")+COUNTIF(Indonesia!$G$19,"Very Good")+COUNTIF(Lontar!$G$19,"Very Good")+COUNTIF(Kurdish!$G$19,"Very Good")</f>
        <v>1</v>
      </c>
      <c r="D87" s="141">
        <f>(C87+C88)/SUM(C87:C91)</f>
        <v>0.5</v>
      </c>
    </row>
    <row r="88" spans="1:4" x14ac:dyDescent="0.2">
      <c r="A88" s="139"/>
      <c r="B88" s="4" t="s">
        <v>0</v>
      </c>
      <c r="C88" s="16">
        <f>COUNTIF(Mosquito!$G$19,"Good")+COUNTIF(Body!$H$19,"Good")+COUNTIF(Quechua!$G$19,"Good")+COUNTIF(Melanoma!$G$19,"Good")+COUNTIF(Leaf!$G$19,"Good")+COUNTIF(Antimicrobial!$G$19,"Good")+COUNTIF(Albanian!$G$19,"Good")+COUNTIF(Prostate!$G$19,"Good")+COUNTIF(Kenya!$G$19,"Good")+COUNTIF(Indonesia!$G$19,"Good")+COUNTIF(Lontar!$G$19,"Good")+COUNTIF(Kurdish!$G$19,"Good")</f>
        <v>5</v>
      </c>
      <c r="D88" s="142"/>
    </row>
    <row r="89" spans="1:4" x14ac:dyDescent="0.2">
      <c r="A89" s="139"/>
      <c r="B89" s="5" t="s">
        <v>4</v>
      </c>
      <c r="C89" s="16">
        <f>COUNTIF(Mosquito!$G$19,"Fair")+COUNTIF(Body!$H$19,"Fair")+COUNTIF(Quechua!$G$19,"Fair")+COUNTIF(Melanoma!$G$19,"Fair")+COUNTIF(Leaf!$G$19,"Fair")+COUNTIF(Antimicrobial!$G$19,"Fair")+COUNTIF(Albanian!$G$19,"Fair")+COUNTIF(Prostate!$G$19,"fair")+COUNTIF(Kenya!$G$19,"fair")+COUNTIF(Indonesia!$G$19,"fair")+COUNTIF(Lontar!$G$19,"Fair")+COUNTIF(Kurdish!$G$19,"Fair")</f>
        <v>2</v>
      </c>
      <c r="D89" s="143">
        <f>(C89+C90)/SUM(C87:C91)</f>
        <v>0.41666666666666669</v>
      </c>
    </row>
    <row r="90" spans="1:4" x14ac:dyDescent="0.2">
      <c r="A90" s="139"/>
      <c r="B90" s="6" t="s">
        <v>1</v>
      </c>
      <c r="C90" s="16">
        <f>COUNTIF(Mosquito!$G$19,"Bad")+COUNTIF(Body!$H$19,"Bad")+COUNTIF(Quechua!$G$19,"Bad")+COUNTIF(Melanoma!$G$19,"Bad")+COUNTIF(Leaf!$G$19,"Bad")+COUNTIF(Antimicrobial!$G$19,"Bad")+COUNTIF(Albanian!$G$19,"Bad")+COUNTIF(Prostate!$G$19,"Bad")+COUNTIF(Kenya!$G$19,"Bad")+COUNTIF(Indonesia!$G$19,"Bad")+COUNTIF(Lontar!$G$19,"Bad")+COUNTIF(Kurdish!$G$19,"Bad")</f>
        <v>3</v>
      </c>
      <c r="D90" s="144"/>
    </row>
    <row r="91" spans="1:4" x14ac:dyDescent="0.2">
      <c r="A91" s="140"/>
      <c r="B91" s="7" t="s">
        <v>2</v>
      </c>
      <c r="C91" s="16">
        <f>COUNTIF(Mosquito!$G$19,"Hallucinate")+COUNTIF(Body!$H$19,"Hallucinate")+COUNTIF(Quechua!$G$19,"Hallucinate")+COUNTIF(Melanoma!$G$19,"Hallucinate")+COUNTIF(Leaf!$G$19,"Hallucinate")+COUNTIF(Antimicrobial!$G$19,"Hallucinate")+COUNTIF(Albanian!$G$19,"Hallucinate")+COUNTIF(Prostate!$G$19,"Hallucinate")+COUNTIF(Kenya!$G$19,"Hallucinate")+COUNTIF(Indonesia!$G$19,"Hallucinate")+COUNTIF(Lontar!$G$19,"Hallucinate")+COUNTIF(Kurdish!$G$19,"Hallucinate")</f>
        <v>1</v>
      </c>
      <c r="D91" s="10">
        <f>(C91)/SUM(C87:C91)</f>
        <v>8.3333333333333329E-2</v>
      </c>
    </row>
    <row r="92" spans="1:4" ht="21" x14ac:dyDescent="0.25">
      <c r="A92" s="13" t="s">
        <v>24</v>
      </c>
      <c r="B92" s="137" t="s">
        <v>15</v>
      </c>
      <c r="C92" s="137"/>
      <c r="D92" s="137"/>
    </row>
    <row r="93" spans="1:4" x14ac:dyDescent="0.2">
      <c r="A93" s="11" t="s">
        <v>5</v>
      </c>
      <c r="B93" s="11" t="s">
        <v>5</v>
      </c>
      <c r="C93" s="8" t="s">
        <v>192</v>
      </c>
      <c r="D93" s="8" t="s">
        <v>193</v>
      </c>
    </row>
    <row r="94" spans="1:4" x14ac:dyDescent="0.2">
      <c r="A94" s="138" t="s">
        <v>197</v>
      </c>
      <c r="B94" s="3" t="s">
        <v>3</v>
      </c>
      <c r="C94" s="16">
        <f>COUNTIF(Mosquito!$G$21,"Very Good")+COUNTIF(Body!$H$21,"Very Good")+COUNTIF(Quechua!$G$21,"Very Good")+COUNTIF(Melanoma!$G$21,"Very Good")+COUNTIF(Leaf!$G$21,"Very Good")+COUNTIF(Antimicrobial!$G$21,"Very Good")+COUNTIF(Albanian!$G$21,"Very Good")+COUNTIF(Prostate!$G$21,"Very Good")+COUNTIF(Kenya!$G$21,"Very Good")+COUNTIF(Indonesia!$G$21,"Very Good")+COUNTIF(Lontar!$G$21,"Very Good")+COUNTIF(Kurdish!$G$21,"Very Good")</f>
        <v>5</v>
      </c>
      <c r="D94" s="141">
        <f>(C94+C95)/SUM(C94:C98)</f>
        <v>1</v>
      </c>
    </row>
    <row r="95" spans="1:4" x14ac:dyDescent="0.2">
      <c r="A95" s="139"/>
      <c r="B95" s="4" t="s">
        <v>0</v>
      </c>
      <c r="C95" s="16">
        <f>COUNTIF(Mosquito!$G$21,"Good")+COUNTIF(Body!$H$21,"Good")+COUNTIF(Quechua!$G$21,"Good")+COUNTIF(Melanoma!$G$21,"Good")+COUNTIF(Leaf!$G$21,"Good")+COUNTIF(Antimicrobial!$G$21,"Good")+COUNTIF(Albanian!$G$21,"Good")+COUNTIF(Prostate!$G$21,"Good")+COUNTIF(Kenya!$G$21,"Good")+COUNTIF(Indonesia!$G$21,"Good")+COUNTIF(Lontar!$G$21,"Good")+COUNTIF(Kurdish!$G$21,"Good")</f>
        <v>6</v>
      </c>
      <c r="D95" s="142"/>
    </row>
    <row r="96" spans="1:4" x14ac:dyDescent="0.2">
      <c r="A96" s="139"/>
      <c r="B96" s="5" t="s">
        <v>4</v>
      </c>
      <c r="C96" s="16">
        <f>COUNTIF(Mosquito!$G$21,"Fair")+COUNTIF(Body!$H$21,"Fair")+COUNTIF(Quechua!$G$21,"Fair")+COUNTIF(Melanoma!$G$21,"Fair")+COUNTIF(Leaf!$G$21,"Fair")+COUNTIF(Antimicrobial!$G$21,"Fair")+COUNTIF(Albanian!$G$21,"Fair")+COUNTIF(Prostate!$G$21,"fair")+COUNTIF(Kenya!$G$21,"fair")+COUNTIF(Indonesia!$G$21,"fair")+COUNTIF(Lontar!$G$21,"Fair")+COUNTIF(Kurdish!$G$21,"Fair")</f>
        <v>0</v>
      </c>
      <c r="D96" s="143">
        <f>(C96+C97)/SUM(C94:C98)</f>
        <v>0</v>
      </c>
    </row>
    <row r="97" spans="1:4" x14ac:dyDescent="0.2">
      <c r="A97" s="139"/>
      <c r="B97" s="6" t="s">
        <v>1</v>
      </c>
      <c r="C97" s="16">
        <f>COUNTIF(Mosquito!$G$21,"Bad")+COUNTIF(Body!$H$21,"Bad")+COUNTIF(Quechua!$G$21,"Bad")+COUNTIF(Melanoma!$G$21,"Bad")+COUNTIF(Leaf!$G$21,"Bad")+COUNTIF(Antimicrobial!$G$21,"Bad")+COUNTIF(Albanian!$G$21,"Bad")+COUNTIF(Prostate!$G$21,"Bad")+COUNTIF(Kenya!$G$21,"Bad")+COUNTIF(Indonesia!$G$21,"Bad")+COUNTIF(Lontar!$G$21,"Bad")+COUNTIF(Kurdish!$G$21,"Bad")</f>
        <v>0</v>
      </c>
      <c r="D97" s="144"/>
    </row>
    <row r="98" spans="1:4" x14ac:dyDescent="0.2">
      <c r="A98" s="140"/>
      <c r="B98" s="7" t="s">
        <v>2</v>
      </c>
      <c r="C98" s="16">
        <f>COUNTIF(Mosquito!$G$21,"Hallucinate")+COUNTIF(Body!$H$21,"Hallucinate")+COUNTIF(Quechua!$G$21,"Hallucinate")+COUNTIF(Melanoma!$G$21,"Hallucinate")+COUNTIF(Leaf!$G$21,"Hallucinate")+COUNTIF(Antimicrobial!$G$21,"Hallucinate")+COUNTIF(Albanian!$G$21,"Hallucinate")+COUNTIF(Prostate!$G$21,"Hallucinate")+COUNTIF(Kenya!$G$21,"Hallucinate")+COUNTIF(Indonesia!$G$21,"Hallucinate")+COUNTIF(Lontar!$G$21,"Hallucinate")+COUNTIF(Kurdish!$G$21,"Hallucinate")</f>
        <v>0</v>
      </c>
      <c r="D98" s="10">
        <f>(C98)/SUM(C94:C98)</f>
        <v>0</v>
      </c>
    </row>
    <row r="99" spans="1:4" x14ac:dyDescent="0.2">
      <c r="A99" s="138" t="s">
        <v>200</v>
      </c>
      <c r="B99" s="3" t="s">
        <v>3</v>
      </c>
      <c r="C99" s="16">
        <f>COUNTIF(Mosquito!$G$23,"Very Good")+COUNTIF(Body!$H$24,"Very Good")+COUNTIF(Quechua!$G$23,"Very Good")+COUNTIF(Melanoma!$G$23,"Very Good")+COUNTIF(Leaf!$G$23,"Very Good")+COUNTIF(Antimicrobial!$G$23,"Very Good")+COUNTIF(Albanian!$G$23,"Very Good")+COUNTIF(Prostate!$G$23,"Very Good")+COUNTIF(Kenya!$G$23,"Very Good")+COUNTIF(Indonesia!$G$23,"Very Good")+COUNTIF(Lontar!$G$23,"Very Good")+COUNTIF(Kurdish!$G$23,"Very Good")</f>
        <v>3</v>
      </c>
      <c r="D99" s="141">
        <f>(C99+C100)/SUM(C99:C103)</f>
        <v>1</v>
      </c>
    </row>
    <row r="100" spans="1:4" x14ac:dyDescent="0.2">
      <c r="A100" s="139"/>
      <c r="B100" s="4" t="s">
        <v>0</v>
      </c>
      <c r="C100" s="16">
        <f>COUNTIF(Mosquito!$G$23,"Good")+COUNTIF(Body!$H$24,"Good")+COUNTIF(Quechua!$G$23,"Good")+COUNTIF(Melanoma!$G$23,"Good")+COUNTIF(Leaf!$G$23,"Good")+COUNTIF(Antimicrobial!$G$23,"Good")+COUNTIF(Albanian!$G$23,"Good")+COUNTIF(Prostate!$G$23,"Good")+COUNTIF(Kenya!$G$23,"Good")+COUNTIF(Indonesia!$G$23,"Good")+COUNTIF(Lontar!$G$23,"Good")+COUNTIF(Kurdish!$G$23,"Good")</f>
        <v>8</v>
      </c>
      <c r="D100" s="142"/>
    </row>
    <row r="101" spans="1:4" x14ac:dyDescent="0.2">
      <c r="A101" s="139"/>
      <c r="B101" s="5" t="s">
        <v>4</v>
      </c>
      <c r="C101" s="16">
        <f>COUNTIF(Mosquito!$G$23,"Fair")+COUNTIF(Body!$H$24,"Fair")+COUNTIF(Quechua!$G$23,"Fair")+COUNTIF(Melanoma!$G$23,"Fair")+COUNTIF(Leaf!$G$23,"Fair")+COUNTIF(Antimicrobial!$G$23,"Fair")+COUNTIF(Albanian!$G$23,"Fair")+COUNTIF(Prostate!$G$23,"fair")+COUNTIF(Kenya!$G$23,"fair")+COUNTIF(Indonesia!$G$23,"fair")+COUNTIF(Lontar!$G$23,"Fair")+COUNTIF(Kurdish!$G$23,"Fair")</f>
        <v>0</v>
      </c>
      <c r="D101" s="143">
        <f>(C101+C102)/SUM(C99:C103)</f>
        <v>0</v>
      </c>
    </row>
    <row r="102" spans="1:4" x14ac:dyDescent="0.2">
      <c r="A102" s="139"/>
      <c r="B102" s="6" t="s">
        <v>1</v>
      </c>
      <c r="C102" s="16">
        <f>COUNTIF(Mosquito!$G$23,"Bad")+COUNTIF(Body!$H$24,"Bad")+COUNTIF(Quechua!$G$23,"Bad")+COUNTIF(Melanoma!$G$23,"Bad")+COUNTIF(Leaf!$G$23,"Bad")+COUNTIF(Antimicrobial!$G$23,"Bad")+COUNTIF(Albanian!$G$23,"Bad")+COUNTIF(Prostate!$G$23,"Bad")+COUNTIF(Kenya!$G$23,"Bad")+COUNTIF(Indonesia!$G$23,"Bad")+COUNTIF(Lontar!$G$23,"Bad")+COUNTIF(Kurdish!$G$23,"Bad")</f>
        <v>0</v>
      </c>
      <c r="D102" s="144"/>
    </row>
    <row r="103" spans="1:4" x14ac:dyDescent="0.2">
      <c r="A103" s="140"/>
      <c r="B103" s="7" t="s">
        <v>2</v>
      </c>
      <c r="C103" s="16">
        <f>COUNTIF(Mosquito!$G$23,"Hallucinate")+COUNTIF(Body!$H$24,"Hallucinate")+COUNTIF(Quechua!$G$23,"Hallucinate")+COUNTIF(Melanoma!$G$23,"Hallucinate")+COUNTIF(Leaf!$G$23,"Hallucinate")+COUNTIF(Antimicrobial!$G$23,"Hallucinate")+COUNTIF(Albanian!$G$23,"Hallucinate")+COUNTIF(Prostate!$G$23,"Hallucinate")+COUNTIF(Kenya!$G$23,"Hallucinate")+COUNTIF(Indonesia!$G$23,"Hallucinate")+COUNTIF(Lontar!$G$23,"Hallucinate")+COUNTIF(Kurdish!$G$23,"Hallucinate")</f>
        <v>0</v>
      </c>
      <c r="D103" s="10">
        <f>(C103)/SUM(C99:C103)</f>
        <v>0</v>
      </c>
    </row>
    <row r="104" spans="1:4" x14ac:dyDescent="0.2">
      <c r="A104" s="138" t="s">
        <v>201</v>
      </c>
      <c r="B104" s="3" t="s">
        <v>3</v>
      </c>
      <c r="C104" s="16">
        <f>COUNTIF(Mosquito!$G$24,"Very Good")+COUNTIF(Body!$H$25,"Very Good")+COUNTIF(Quechua!$G$24,"Very Good")+COUNTIF(Melanoma!$G$24,"Very Good")+COUNTIF(Leaf!$G$24,"Very Good")+COUNTIF(Antimicrobial!$G$24,"Very Good")+COUNTIF(Albanian!$G$24,"Very Good")+COUNTIF(Prostate!$G$24,"Very Good")+COUNTIF(Kenya!$G$24,"Very Good")+COUNTIF(Indonesia!$G$24,"Very Good")+COUNTIF(Lontar!$G$24,"Very Good")+COUNTIF(Kurdish!$G$24,"Very Good")</f>
        <v>3</v>
      </c>
      <c r="D104" s="141">
        <f>(C104+C105)/SUM(C104:C108)</f>
        <v>0.83333333333333337</v>
      </c>
    </row>
    <row r="105" spans="1:4" x14ac:dyDescent="0.2">
      <c r="A105" s="139"/>
      <c r="B105" s="4" t="s">
        <v>0</v>
      </c>
      <c r="C105" s="16">
        <f>COUNTIF(Mosquito!$G$24,"Good")+COUNTIF(Body!$H$25,"Good")+COUNTIF(Quechua!$G$24,"Good")+COUNTIF(Melanoma!$G$24,"Good")+COUNTIF(Leaf!$G$24,"Good")+COUNTIF(Antimicrobial!$G$24,"Good")+COUNTIF(Albanian!$G$24,"Good")+COUNTIF(Prostate!$G$24,"Good")+COUNTIF(Kenya!$G$24,"Good")+COUNTIF(Indonesia!$G$24,"Good")+COUNTIF(Lontar!$G$24,"Good")+COUNTIF(Kurdish!$G$24,"Good")</f>
        <v>7</v>
      </c>
      <c r="D105" s="142"/>
    </row>
    <row r="106" spans="1:4" x14ac:dyDescent="0.2">
      <c r="A106" s="139"/>
      <c r="B106" s="5" t="s">
        <v>4</v>
      </c>
      <c r="C106" s="16">
        <f>COUNTIF(Mosquito!$G$24,"Fair")+COUNTIF(Body!$H$25,"Fair")+COUNTIF(Quechua!$G$24,"Fair")+COUNTIF(Melanoma!$G$24,"Fair")+COUNTIF(Leaf!$G$24,"Fair")+COUNTIF(Antimicrobial!$G$24,"Fair")+COUNTIF(Albanian!$G$24,"Fair")+COUNTIF(Prostate!$G$24,"fair")+COUNTIF(Kenya!$G$24,"fair")+COUNTIF(Indonesia!$G$24,"fair")+COUNTIF(Lontar!$G$24,"Fair")+COUNTIF(Kurdish!$G$24,"Fair")</f>
        <v>1</v>
      </c>
      <c r="D106" s="143">
        <f>(C106+C107)/SUM(C104:C108)</f>
        <v>0.16666666666666666</v>
      </c>
    </row>
    <row r="107" spans="1:4" x14ac:dyDescent="0.2">
      <c r="A107" s="139"/>
      <c r="B107" s="6" t="s">
        <v>1</v>
      </c>
      <c r="C107" s="16">
        <f>COUNTIF(Mosquito!$G$24,"Bad")+COUNTIF(Body!$H$25,"Bad")+COUNTIF(Quechua!$G$24,"Bad")+COUNTIF(Melanoma!$G$24,"Bad")+COUNTIF(Leaf!$G$24,"Bad")+COUNTIF(Antimicrobial!$G$24,"Bad")+COUNTIF(Albanian!$G$24,"Bad")+COUNTIF(Prostate!$G$24,"Bad")+COUNTIF(Kenya!$G$24,"Bad")+COUNTIF(Indonesia!$G$24,"Bad")+COUNTIF(Lontar!$G$24,"Bad")+COUNTIF(Kurdish!$G$24,"Bad")</f>
        <v>1</v>
      </c>
      <c r="D107" s="144"/>
    </row>
    <row r="108" spans="1:4" x14ac:dyDescent="0.2">
      <c r="A108" s="140"/>
      <c r="B108" s="7" t="s">
        <v>2</v>
      </c>
      <c r="C108" s="16">
        <f>COUNTIF(Mosquito!$G$24,"Hallucinate")+COUNTIF(Body!$H$25,"Hallucinate")+COUNTIF(Quechua!$G$24,"Hallucinate")+COUNTIF(Melanoma!$G$24,"Hallucinate")+COUNTIF(Leaf!$G$24,"Hallucinate")+COUNTIF(Antimicrobial!$G$24,"Hallucinate")+COUNTIF(Albanian!$G$24,"Hallucinate")+COUNTIF(Prostate!$G$24,"Hallucinate")+COUNTIF(Kenya!$G$24,"Hallucinate")+COUNTIF(Indonesia!$G$24,"Hallucinate")+COUNTIF(Lontar!$G$24,"Hallucinate")+COUNTIF(Kurdish!$G$24,"Hallucinate")</f>
        <v>0</v>
      </c>
      <c r="D108" s="10">
        <f>(C108)/SUM(C104:C108)</f>
        <v>0</v>
      </c>
    </row>
    <row r="109" spans="1:4" x14ac:dyDescent="0.2">
      <c r="A109" s="138" t="s">
        <v>202</v>
      </c>
      <c r="B109" s="3" t="s">
        <v>3</v>
      </c>
      <c r="C109" s="16">
        <f>COUNTIF(Mosquito!$G$25,"Very Good")+COUNTIF(Body!$H$26,"Very Good")+COUNTIF(Quechua!$G$25,"Very Good")+COUNTIF(Melanoma!$G$25,"Very Good")+COUNTIF(Leaf!$G$25,"Very Good")+COUNTIF(Antimicrobial!$G$25,"Very Good")+COUNTIF(Albanian!$G$25,"Very Good")+COUNTIF(Prostate!$G$25,"Very Good")+COUNTIF(Kenya!$G$25,"Very Good")+COUNTIF(Indonesia!$G$25,"Very Good")+COUNTIF(Lontar!$G$25,"Very Good")+COUNTIF(Kurdish!$G$25,"Very Good")</f>
        <v>3</v>
      </c>
      <c r="D109" s="141">
        <f>(C109+C110)/SUM(C109:C113)</f>
        <v>0.41666666666666669</v>
      </c>
    </row>
    <row r="110" spans="1:4" x14ac:dyDescent="0.2">
      <c r="A110" s="139"/>
      <c r="B110" s="4" t="s">
        <v>0</v>
      </c>
      <c r="C110" s="16">
        <f>COUNTIF(Mosquito!$G$25,"Good")+COUNTIF(Body!$H$26,"Good")+COUNTIF(Quechua!$G$25,"Good")+COUNTIF(Melanoma!$G$25,"Good")+COUNTIF(Leaf!$G$25,"Good")+COUNTIF(Antimicrobial!$G$25,"Good")+COUNTIF(Albanian!$G$25,"Good")+COUNTIF(Prostate!$G$25,"Good")+COUNTIF(Kenya!$G$25,"Good")+COUNTIF(Indonesia!$G$25,"Good")+COUNTIF(Lontar!$G$25,"Good")+COUNTIF(Kurdish!$G$25,"Good")</f>
        <v>2</v>
      </c>
      <c r="D110" s="142"/>
    </row>
    <row r="111" spans="1:4" x14ac:dyDescent="0.2">
      <c r="A111" s="139"/>
      <c r="B111" s="5" t="s">
        <v>4</v>
      </c>
      <c r="C111" s="16">
        <f>COUNTIF(Mosquito!$G$25,"Fair")+COUNTIF(Body!$H$26,"Fair")+COUNTIF(Quechua!$G$25,"Fair")+COUNTIF(Melanoma!$G$25,"Fair")+COUNTIF(Leaf!$G$25,"Fair")+COUNTIF(Antimicrobial!$G$25,"Fair")+COUNTIF(Albanian!$G$25,"Fair")+COUNTIF(Prostate!$G$25,"fair")+COUNTIF(Kenya!$G$25,"fair")+COUNTIF(Indonesia!$G$25,"fair")+COUNTIF(Lontar!$G$25,"Fair")+COUNTIF(Kurdish!$G$25,"Fair")</f>
        <v>2</v>
      </c>
      <c r="D111" s="143">
        <f>(C111+C112)/SUM(C109:C113)</f>
        <v>0.33333333333333331</v>
      </c>
    </row>
    <row r="112" spans="1:4" x14ac:dyDescent="0.2">
      <c r="A112" s="139"/>
      <c r="B112" s="6" t="s">
        <v>1</v>
      </c>
      <c r="C112" s="16">
        <f>COUNTIF(Mosquito!$G$25,"Bad")+COUNTIF(Body!$H$26,"Bad")+COUNTIF(Quechua!$G$25,"Bad")+COUNTIF(Melanoma!$G$25,"Bad")+COUNTIF(Leaf!$G$25,"Bad")+COUNTIF(Antimicrobial!$G$25,"Bad")+COUNTIF(Albanian!$G$25,"Bad")+COUNTIF(Prostate!$G$25,"Bad")+COUNTIF(Kenya!$G$25,"Bad")+COUNTIF(Indonesia!$G$25,"Bad")+COUNTIF(Lontar!$G$25,"Bad")+COUNTIF(Kurdish!$G$25,"Bad")</f>
        <v>2</v>
      </c>
      <c r="D112" s="144"/>
    </row>
    <row r="113" spans="1:4" x14ac:dyDescent="0.2">
      <c r="A113" s="140"/>
      <c r="B113" s="7" t="s">
        <v>2</v>
      </c>
      <c r="C113" s="16">
        <f>COUNTIF(Mosquito!$G$25,"Hallucinate")+COUNTIF(Body!$H$26,"Hallucinate")+COUNTIF(Quechua!$G$25,"Hallucinate")+COUNTIF(Melanoma!$G$25,"Hallucinate")+COUNTIF(Leaf!$G$25,"Hallucinate")+COUNTIF(Antimicrobial!$G$25,"Hallucinate")+COUNTIF(Albanian!$G$25,"Hallucinate")+COUNTIF(Prostate!$G$25,"Hallucinate")+COUNTIF(Kenya!$G$25,"Hallucinate")+COUNTIF(Indonesia!$G$25,"Hallucinate")+COUNTIF(Lontar!$G$25,"Hallucinate")+COUNTIF(Kurdish!$G$25,"Hallucinate")</f>
        <v>3</v>
      </c>
      <c r="D113" s="10">
        <f>(C113)/SUM(C109:C113)</f>
        <v>0.25</v>
      </c>
    </row>
    <row r="114" spans="1:4" ht="21" x14ac:dyDescent="0.25">
      <c r="A114" s="13" t="s">
        <v>24</v>
      </c>
      <c r="B114" s="145" t="s">
        <v>206</v>
      </c>
      <c r="C114" s="146"/>
      <c r="D114" s="147"/>
    </row>
    <row r="115" spans="1:4" x14ac:dyDescent="0.2">
      <c r="A115" s="11" t="s">
        <v>5</v>
      </c>
      <c r="B115" s="11" t="s">
        <v>5</v>
      </c>
      <c r="C115" s="8" t="s">
        <v>192</v>
      </c>
      <c r="D115" s="8" t="s">
        <v>193</v>
      </c>
    </row>
    <row r="116" spans="1:4" x14ac:dyDescent="0.2">
      <c r="A116" s="138" t="s">
        <v>203</v>
      </c>
      <c r="B116" s="3" t="s">
        <v>3</v>
      </c>
      <c r="C116" s="16">
        <f>COUNTIF(Mosquito!$G$26,"Very Good")+COUNTIF(Body!$H$27,"Very Good")+COUNTIF(Quechua!$G$26,"Very Good")+COUNTIF(Melanoma!$G$26,"Very Good")+COUNTIF(Leaf!$G$26,"Very Good")+COUNTIF(Antimicrobial!$G$26,"Very Good")+COUNTIF(Albanian!$G$26,"Very Good")+COUNTIF(Prostate!$G$26,"Very Good")+COUNTIF(Kenya!$G$26,"Very Good")+COUNTIF(Indonesia!$G$26,"Very Good")+COUNTIF(Lontar!$G$26,"Very Good")+COUNTIF(Kurdish!$G$26,"Very Good")</f>
        <v>3</v>
      </c>
      <c r="D116" s="141">
        <f>(C116+C117)/SUM(C116:C120)</f>
        <v>0.91666666666666663</v>
      </c>
    </row>
    <row r="117" spans="1:4" x14ac:dyDescent="0.2">
      <c r="A117" s="139"/>
      <c r="B117" s="4" t="s">
        <v>0</v>
      </c>
      <c r="C117" s="16">
        <f>COUNTIF(Mosquito!$G$26,"Good")+COUNTIF(Body!$H$27,"Good")+COUNTIF(Quechua!$G$26,"Good")+COUNTIF(Melanoma!$G$26,"Good")+COUNTIF(Leaf!$G$26,"Good")+COUNTIF(Antimicrobial!$G$26,"Good")+COUNTIF(Albanian!$G$26,"Good")+COUNTIF(Prostate!$G$26,"Good")+COUNTIF(Kenya!$G$26,"Good")+COUNTIF(Indonesia!$G$26,"Good")+COUNTIF(Lontar!$G$26,"Good")+COUNTIF(Kurdish!$G$26,"Good")</f>
        <v>8</v>
      </c>
      <c r="D117" s="142"/>
    </row>
    <row r="118" spans="1:4" x14ac:dyDescent="0.2">
      <c r="A118" s="139"/>
      <c r="B118" s="5" t="s">
        <v>4</v>
      </c>
      <c r="C118" s="16">
        <f>COUNTIF(Mosquito!$G$26,"Fair")+COUNTIF(Body!$H$27,"Fair")+COUNTIF(Quechua!$G$26,"Fair")+COUNTIF(Melanoma!$G$26,"Fair")+COUNTIF(Leaf!$G$26,"Fair")+COUNTIF(Antimicrobial!$G$26,"Fair")+COUNTIF(Albanian!$G$26,"Fair")+COUNTIF(Prostate!$G$26,"fair")+COUNTIF(Kenya!$G$26,"fair")+COUNTIF(Indonesia!$G$26,"fair")+COUNTIF(Lontar!$G$26,"Fair")+COUNTIF(Kurdish!$G$26,"Fair")</f>
        <v>1</v>
      </c>
      <c r="D118" s="143">
        <f>(C118+C119)/SUM(C116:C120)</f>
        <v>8.3333333333333329E-2</v>
      </c>
    </row>
    <row r="119" spans="1:4" x14ac:dyDescent="0.2">
      <c r="A119" s="139"/>
      <c r="B119" s="6" t="s">
        <v>1</v>
      </c>
      <c r="C119" s="16">
        <f>COUNTIF(Mosquito!$G$26,"Bad")+COUNTIF(Body!$H$27,"Bad")+COUNTIF(Quechua!$G$26,"Bad")+COUNTIF(Melanoma!$G$26,"Bad")+COUNTIF(Leaf!$G$26,"Bad")+COUNTIF(Antimicrobial!$G$26,"Bad")+COUNTIF(Albanian!$G$26,"Bad")+COUNTIF(Prostate!$G$26,"Bad")+COUNTIF(Kenya!$G$26,"Bad")+COUNTIF(Indonesia!$G$26,"Bad")+COUNTIF(Lontar!$G$26,"Bad")+COUNTIF(Kurdish!$G$26,"Bad")</f>
        <v>0</v>
      </c>
      <c r="D119" s="144"/>
    </row>
    <row r="120" spans="1:4" x14ac:dyDescent="0.2">
      <c r="A120" s="140"/>
      <c r="B120" s="7" t="s">
        <v>2</v>
      </c>
      <c r="C120" s="16">
        <f>COUNTIF(Mosquito!$G$26,"Hallucinate")+COUNTIF(Body!$H$27,"Hallucinate")+COUNTIF(Quechua!$G$26,"Hallucinate")+COUNTIF(Melanoma!$G$26,"Hallucinate")+COUNTIF(Leaf!$G$26,"Hallucinate")+COUNTIF(Antimicrobial!$G$26,"Hallucinate")+COUNTIF(Albanian!$G$26,"Hallucinate")+COUNTIF(Prostate!$G$26,"Hallucinate")+COUNTIF(Kenya!$G$26,"Hallucinate")+COUNTIF(Indonesia!$G$26,"Hallucinate")+COUNTIF(Lontar!$G$26,"Hallucinate")+COUNTIF(Kurdish!$G$26,"Hallucinate")</f>
        <v>0</v>
      </c>
      <c r="D120" s="10">
        <f>(C120)/SUM(C116:C120)</f>
        <v>0</v>
      </c>
    </row>
    <row r="121" spans="1:4" x14ac:dyDescent="0.2">
      <c r="A121" s="138" t="s">
        <v>204</v>
      </c>
      <c r="B121" s="3" t="s">
        <v>3</v>
      </c>
      <c r="C121" s="16">
        <f>COUNTIF(Mosquito!$G$27,"Very Good")+COUNTIF(Body!$H$28,"Very Good")+COUNTIF(Quechua!$G$27,"Very Good")+COUNTIF(Melanoma!$G$27,"Very Good")+COUNTIF(Leaf!$G$27,"Very Good")+COUNTIF(Antimicrobial!$G$27,"Very Good")+COUNTIF(Albanian!$G$27,"Very Good")+COUNTIF(Prostate!$G$27,"Very Good")+COUNTIF(Kenya!$G$27,"Very Good")+COUNTIF(Indonesia!$G$27,"Very Good")+COUNTIF(Lontar!$G$27,"Very Good")+COUNTIF(Kurdish!$G$27,"Very Good")</f>
        <v>3</v>
      </c>
      <c r="D121" s="141">
        <f>(C121+C122)/SUM(C121:C125)</f>
        <v>1</v>
      </c>
    </row>
    <row r="122" spans="1:4" x14ac:dyDescent="0.2">
      <c r="A122" s="139"/>
      <c r="B122" s="4" t="s">
        <v>0</v>
      </c>
      <c r="C122" s="16">
        <f>COUNTIF(Mosquito!$G$27,"Good")+COUNTIF(Body!$H$28,"Good")+COUNTIF(Quechua!$G$27,"Good")+COUNTIF(Melanoma!$G$27,"Good")+COUNTIF(Leaf!$G$27,"Good")+COUNTIF(Antimicrobial!$G$27,"Good")+COUNTIF(Albanian!$G$27,"Good")+COUNTIF(Prostate!$G$27,"Good")+COUNTIF(Kenya!$G$27,"Good")+COUNTIF(Indonesia!$G$27,"Good")+COUNTIF(Lontar!$G$27,"Good")+COUNTIF(Kurdish!$G$27,"Good")</f>
        <v>9</v>
      </c>
      <c r="D122" s="142"/>
    </row>
    <row r="123" spans="1:4" x14ac:dyDescent="0.2">
      <c r="A123" s="139"/>
      <c r="B123" s="5" t="s">
        <v>4</v>
      </c>
      <c r="C123" s="16">
        <f>COUNTIF(Mosquito!$G$27,"Fair")+COUNTIF(Body!$H$28,"Fair")+COUNTIF(Quechua!$G$27,"Fair")+COUNTIF(Melanoma!$G$27,"Fair")+COUNTIF(Leaf!$G$27,"Fair")+COUNTIF(Antimicrobial!$G$27,"Fair")+COUNTIF(Albanian!$G$27,"Fair")+COUNTIF(Prostate!$G$27,"fair")+COUNTIF(Kenya!$G$27,"fair")+COUNTIF(Indonesia!$G$27,"fair")+COUNTIF(Lontar!$G$27,"Fair")+COUNTIF(Kurdish!$G$27,"Fair")</f>
        <v>0</v>
      </c>
      <c r="D123" s="143">
        <f>(C123+C124)/SUM(C121:C125)</f>
        <v>0</v>
      </c>
    </row>
    <row r="124" spans="1:4" x14ac:dyDescent="0.2">
      <c r="A124" s="139"/>
      <c r="B124" s="6" t="s">
        <v>1</v>
      </c>
      <c r="C124" s="16">
        <f>COUNTIF(Mosquito!$G$27,"Bad")+COUNTIF(Body!$H$28,"Bad")+COUNTIF(Quechua!$G$27,"Bad")+COUNTIF(Melanoma!$G$27,"Bad")+COUNTIF(Leaf!$G$27,"Bad")+COUNTIF(Antimicrobial!$G$27,"Bad")+COUNTIF(Albanian!$G$27,"Bad")+COUNTIF(Prostate!$G$27,"Bad")+COUNTIF(Kenya!$G$27,"Bad")+COUNTIF(Indonesia!$G$27,"Bad")+COUNTIF(Lontar!$G$27,"Bad")+COUNTIF(Kurdish!$G$27,"Bad")</f>
        <v>0</v>
      </c>
      <c r="D124" s="144"/>
    </row>
    <row r="125" spans="1:4" x14ac:dyDescent="0.2">
      <c r="A125" s="140"/>
      <c r="B125" s="7" t="s">
        <v>2</v>
      </c>
      <c r="C125" s="16">
        <f>COUNTIF(Mosquito!$G$27,"Hallucinate")+COUNTIF(Body!$H$28,"Hallucinate")+COUNTIF(Quechua!$G$27,"Hallucinate")+COUNTIF(Melanoma!$G$27,"Hallucinate")+COUNTIF(Leaf!$G$27,"Hallucinate")+COUNTIF(Antimicrobial!$G$27,"Hallucinate")+COUNTIF(Albanian!$G$27,"Hallucinate")+COUNTIF(Prostate!$G$27,"Hallucinate")+COUNTIF(Kenya!$G$27,"Hallucinate")+COUNTIF(Indonesia!$G$27,"Hallucinate")+COUNTIF(Lontar!$G$27,"Hallucinate")+COUNTIF(Kurdish!$G$27,"Hallucinate")</f>
        <v>0</v>
      </c>
      <c r="D125" s="10">
        <f>(C125)/SUM(C121:C125)</f>
        <v>0</v>
      </c>
    </row>
    <row r="126" spans="1:4" x14ac:dyDescent="0.2">
      <c r="A126" s="138" t="s">
        <v>205</v>
      </c>
      <c r="B126" s="3" t="s">
        <v>3</v>
      </c>
      <c r="C126" s="16">
        <f>COUNTIF(Mosquito!$G$28,"Very Good")+COUNTIF(Body!$H$29,"Very Good")+COUNTIF(Quechua!$G$28,"Very Good")+COUNTIF(Melanoma!$G$28,"Very Good")+COUNTIF(Leaf!$G$28,"Very Good")+COUNTIF(Antimicrobial!$G$28,"Very Good")+COUNTIF(Albanian!$G$28,"Very Good")+COUNTIF(Prostate!$G$28,"Very Good")+COUNTIF(Kenya!$G$28,"Very Good")+COUNTIF(Indonesia!$G$28,"Very Good")+COUNTIF(Lontar!$G$28,"Very Good")+COUNTIF(Kurdish!$G$28,"Very Good")</f>
        <v>4</v>
      </c>
      <c r="D126" s="141">
        <f>(C126+C127)/SUM(C126:C130)</f>
        <v>0.91666666666666663</v>
      </c>
    </row>
    <row r="127" spans="1:4" x14ac:dyDescent="0.2">
      <c r="A127" s="139"/>
      <c r="B127" s="4" t="s">
        <v>0</v>
      </c>
      <c r="C127" s="16">
        <f>COUNTIF(Mosquito!$G$28,"Good")+COUNTIF(Body!$H$29,"Good")+COUNTIF(Quechua!$G$28,"Good")+COUNTIF(Melanoma!$G$28,"Good")+COUNTIF(Leaf!$G$28,"Good")+COUNTIF(Antimicrobial!$G$28,"Good")+COUNTIF(Albanian!$G$28,"Good")+COUNTIF(Prostate!$G$28,"Good")+COUNTIF(Kenya!$G$28,"Good")+COUNTIF(Indonesia!$G$28,"Good")+COUNTIF(Lontar!$G$28,"Good")+COUNTIF(Kurdish!$G$28,"Good")</f>
        <v>7</v>
      </c>
      <c r="D127" s="142"/>
    </row>
    <row r="128" spans="1:4" x14ac:dyDescent="0.2">
      <c r="A128" s="139"/>
      <c r="B128" s="5" t="s">
        <v>4</v>
      </c>
      <c r="C128" s="16">
        <f>COUNTIF(Mosquito!$G$28,"Fair")+COUNTIF(Body!$H$29,"Fair")+COUNTIF(Quechua!$G$28,"Fair")+COUNTIF(Melanoma!$G$28,"Fair")+COUNTIF(Leaf!$G$28,"Fair")+COUNTIF(Antimicrobial!$G$28,"Fair")+COUNTIF(Albanian!$G$28,"Fair")+COUNTIF(Prostate!$G$28,"fair")+COUNTIF(Kenya!$G$28,"fair")+COUNTIF(Indonesia!$G$28,"fair")+COUNTIF(Lontar!$G$28,"Fair")+COUNTIF(Kurdish!$G$28,"Fair")</f>
        <v>0</v>
      </c>
      <c r="D128" s="143">
        <f>(C128+C129)/SUM(C126:C130)</f>
        <v>8.3333333333333329E-2</v>
      </c>
    </row>
    <row r="129" spans="1:4" x14ac:dyDescent="0.2">
      <c r="A129" s="139"/>
      <c r="B129" s="6" t="s">
        <v>1</v>
      </c>
      <c r="C129" s="16">
        <f>COUNTIF(Mosquito!$G$28,"Bad")+COUNTIF(Body!$H$29,"Bad")+COUNTIF(Quechua!$G$28,"Bad")+COUNTIF(Melanoma!$G$28,"Bad")+COUNTIF(Leaf!$G$28,"Bad")+COUNTIF(Antimicrobial!$G$28,"Bad")+COUNTIF(Albanian!$G$28,"Bad")+COUNTIF(Prostate!$G$28,"Bad")+COUNTIF(Kenya!$G$28,"Bad")+COUNTIF(Indonesia!$G$28,"Bad")+COUNTIF(Lontar!$G$28,"Bad")+COUNTIF(Kurdish!$G$28,"Bad")</f>
        <v>1</v>
      </c>
      <c r="D129" s="144"/>
    </row>
    <row r="130" spans="1:4" x14ac:dyDescent="0.2">
      <c r="A130" s="140"/>
      <c r="B130" s="7" t="s">
        <v>2</v>
      </c>
      <c r="C130" s="16">
        <f>COUNTIF(Mosquito!$G$28,"Hallucinate")+COUNTIF(Body!$H$29,"Hallucinate")+COUNTIF(Quechua!$G$28,"Hallucinate")+COUNTIF(Melanoma!$G$28,"Hallucinate")+COUNTIF(Leaf!$G$28,"Hallucinate")+COUNTIF(Antimicrobial!$G$28,"Hallucinate")+COUNTIF(Albanian!$G$28,"Hallucinate")+COUNTIF(Prostate!$G$28,"Hallucinate")+COUNTIF(Kenya!$G$28,"Hallucinate")+COUNTIF(Indonesia!$G$28,"Hallucinate")+COUNTIF(Lontar!$G$28,"Hallucinate")+COUNTIF(Kurdish!$G$28,"Hallucinate")</f>
        <v>0</v>
      </c>
      <c r="D130" s="10">
        <f>(C130)/SUM(C126:C130)</f>
        <v>0</v>
      </c>
    </row>
  </sheetData>
  <mergeCells count="77">
    <mergeCell ref="A1:D1"/>
    <mergeCell ref="D4:D5"/>
    <mergeCell ref="D21:D22"/>
    <mergeCell ref="D23:D24"/>
    <mergeCell ref="D72:D73"/>
    <mergeCell ref="D94:D95"/>
    <mergeCell ref="D96:D97"/>
    <mergeCell ref="B70:D70"/>
    <mergeCell ref="A72:A76"/>
    <mergeCell ref="A77:A81"/>
    <mergeCell ref="D77:D78"/>
    <mergeCell ref="D79:D80"/>
    <mergeCell ref="D74:D75"/>
    <mergeCell ref="D6:D7"/>
    <mergeCell ref="A55:A59"/>
    <mergeCell ref="D38:D39"/>
    <mergeCell ref="D40:D41"/>
    <mergeCell ref="D55:D56"/>
    <mergeCell ref="D57:D58"/>
    <mergeCell ref="D67:D68"/>
    <mergeCell ref="B53:D53"/>
    <mergeCell ref="A99:A103"/>
    <mergeCell ref="D99:D100"/>
    <mergeCell ref="D101:D102"/>
    <mergeCell ref="A87:A91"/>
    <mergeCell ref="D87:D88"/>
    <mergeCell ref="D89:D90"/>
    <mergeCell ref="A109:A113"/>
    <mergeCell ref="D109:D110"/>
    <mergeCell ref="D111:D112"/>
    <mergeCell ref="D16:D17"/>
    <mergeCell ref="D128:D129"/>
    <mergeCell ref="A65:A69"/>
    <mergeCell ref="D65:D66"/>
    <mergeCell ref="A126:A130"/>
    <mergeCell ref="D126:D127"/>
    <mergeCell ref="D62:D63"/>
    <mergeCell ref="D123:D124"/>
    <mergeCell ref="A60:A64"/>
    <mergeCell ref="D60:D61"/>
    <mergeCell ref="A121:A125"/>
    <mergeCell ref="D121:D122"/>
    <mergeCell ref="B114:D114"/>
    <mergeCell ref="A116:A120"/>
    <mergeCell ref="D116:D117"/>
    <mergeCell ref="D118:D119"/>
    <mergeCell ref="A104:A108"/>
    <mergeCell ref="D104:D105"/>
    <mergeCell ref="D106:D107"/>
    <mergeCell ref="A82:A86"/>
    <mergeCell ref="D82:D83"/>
    <mergeCell ref="D84:D85"/>
    <mergeCell ref="B92:D92"/>
    <mergeCell ref="A94:A98"/>
    <mergeCell ref="B2:D2"/>
    <mergeCell ref="B19:D19"/>
    <mergeCell ref="A43:A47"/>
    <mergeCell ref="A48:A52"/>
    <mergeCell ref="D48:D49"/>
    <mergeCell ref="D50:D51"/>
    <mergeCell ref="A31:A35"/>
    <mergeCell ref="A38:A42"/>
    <mergeCell ref="A21:A25"/>
    <mergeCell ref="A26:A30"/>
    <mergeCell ref="D26:D27"/>
    <mergeCell ref="A4:A8"/>
    <mergeCell ref="A9:A13"/>
    <mergeCell ref="A14:A18"/>
    <mergeCell ref="D9:D10"/>
    <mergeCell ref="D28:D29"/>
    <mergeCell ref="D31:D32"/>
    <mergeCell ref="D33:D34"/>
    <mergeCell ref="B36:D36"/>
    <mergeCell ref="D43:D44"/>
    <mergeCell ref="D45:D46"/>
    <mergeCell ref="D11:D12"/>
    <mergeCell ref="D14:D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F1401-B5ED-5D42-968F-8A1D2A39FECA}">
  <dimension ref="A1:D130"/>
  <sheetViews>
    <sheetView workbookViewId="0">
      <selection activeCell="F12" sqref="F12"/>
    </sheetView>
  </sheetViews>
  <sheetFormatPr baseColWidth="10" defaultRowHeight="16" x14ac:dyDescent="0.2"/>
  <cols>
    <col min="1" max="1" width="41" customWidth="1"/>
    <col min="2" max="2" width="15.1640625" customWidth="1"/>
    <col min="3" max="3" width="15.83203125" customWidth="1"/>
    <col min="4" max="4" width="15.33203125" customWidth="1"/>
    <col min="5" max="5" width="16" customWidth="1"/>
    <col min="6" max="6" width="17.6640625" customWidth="1"/>
    <col min="7" max="7" width="13.33203125" customWidth="1"/>
    <col min="8" max="8" width="13.1640625" customWidth="1"/>
    <col min="12" max="13" width="13.33203125" customWidth="1"/>
    <col min="17" max="17" width="33.5" customWidth="1"/>
  </cols>
  <sheetData>
    <row r="1" spans="1:4" ht="58" customHeight="1" x14ac:dyDescent="0.2">
      <c r="A1" s="184" t="s">
        <v>273</v>
      </c>
      <c r="B1" s="185"/>
      <c r="C1" s="185"/>
      <c r="D1" s="185"/>
    </row>
    <row r="2" spans="1:4" ht="21" customHeight="1" x14ac:dyDescent="0.25">
      <c r="A2" s="13" t="s">
        <v>24</v>
      </c>
      <c r="B2" s="137" t="s">
        <v>10</v>
      </c>
      <c r="C2" s="137"/>
      <c r="D2" s="137"/>
    </row>
    <row r="3" spans="1:4" x14ac:dyDescent="0.2">
      <c r="A3" s="11" t="s">
        <v>5</v>
      </c>
      <c r="B3" s="11" t="s">
        <v>5</v>
      </c>
      <c r="C3" s="8" t="s">
        <v>192</v>
      </c>
      <c r="D3" s="8" t="s">
        <v>193</v>
      </c>
    </row>
    <row r="4" spans="1:4" x14ac:dyDescent="0.2">
      <c r="A4" s="138" t="s">
        <v>25</v>
      </c>
      <c r="B4" s="3" t="s">
        <v>3</v>
      </c>
      <c r="C4" s="16">
        <f>COUNTIF(Mosquito!$H$2,"Very Good")+COUNTIF(Body!$J$2,"Very Good")+COUNTIF(Quechua!$I$2,"Very Good")+COUNTIF(Melanoma!$H$2,"Very Good")+COUNTIF(Leaf!$H$2,"Very Good")+COUNTIF(Antimicrobial!$H$2,"Very Good")+COUNTIF(Albanian!$H$2,"Very Good")+COUNTIF(Prostate!$H$2,"Very Good")+COUNTIF(Kenya!$H$2,"Very Good")+COUNTIF(Indonesia!$H$2,"Very Good")+COUNTIF(Lontar!$H$2,"Very Good")+COUNTIF(Kurdish!$H$2,"Very Good")</f>
        <v>3</v>
      </c>
      <c r="D4" s="141">
        <f>(C4+C5)/SUM(C4:C8)</f>
        <v>0.91666666666666663</v>
      </c>
    </row>
    <row r="5" spans="1:4" x14ac:dyDescent="0.2">
      <c r="A5" s="139"/>
      <c r="B5" s="4" t="s">
        <v>0</v>
      </c>
      <c r="C5" s="16">
        <f>COUNTIF(Mosquito!$H$2,"Good")+COUNTIF(Body!$J$2,"Good")+COUNTIF(Quechua!$I$2,"Good")+COUNTIF(Melanoma!$H$2,"Good")+COUNTIF(Leaf!$H$2,"Good")+COUNTIF(Antimicrobial!$H$2,"Good")+COUNTIF(Albanian!$H$2,"Good")+COUNTIF(Prostate!$H$2,"Good")+COUNTIF(Kenya!$H$2,"Good")+COUNTIF(Indonesia!$H$2,"Good")+COUNTIF(Lontar!$H$2,"Good")+COUNTIF(Kurdish!$H$2,"Good")</f>
        <v>8</v>
      </c>
      <c r="D5" s="142"/>
    </row>
    <row r="6" spans="1:4" x14ac:dyDescent="0.2">
      <c r="A6" s="139"/>
      <c r="B6" s="5" t="s">
        <v>4</v>
      </c>
      <c r="C6" s="16">
        <f>COUNTIF(Mosquito!$H$2,"Fair")+COUNTIF(Body!$J$2,"Fair")+COUNTIF(Quechua!$I$2,"Fair")+COUNTIF(Melanoma!$H$2,"Fair")+COUNTIF(Leaf!$H$2,"Fair")+COUNTIF(Antimicrobial!$H$2,"Fair")+COUNTIF(Albanian!$H$2,"Fair")+COUNTIF(Prostate!$H$2,"fair")+COUNTIF(Kenya!$H$2,"fair")+COUNTIF(Indonesia!$H$2,"fair")+COUNTIF(Lontar!$H$2,"Fair")+COUNTIF(Kurdish!$H$2,"Fair")</f>
        <v>1</v>
      </c>
      <c r="D6" s="143">
        <f>(C6+C7)/SUM(C4:C8)</f>
        <v>8.3333333333333329E-2</v>
      </c>
    </row>
    <row r="7" spans="1:4" x14ac:dyDescent="0.2">
      <c r="A7" s="139"/>
      <c r="B7" s="6" t="s">
        <v>1</v>
      </c>
      <c r="C7" s="16">
        <f>COUNTIF(Mosquito!$H$2,"Bad")+COUNTIF(Body!$J$2,"Bad")+COUNTIF(Quechua!$I$2,"Bad")+COUNTIF(Melanoma!$H$2,"Bad")+COUNTIF(Leaf!$H$2,"Bad")+COUNTIF(Antimicrobial!$H$2,"Bad")+COUNTIF(Albanian!$H$2,"Bad")+COUNTIF(Prostate!$H$2,"Bad")+COUNTIF(Kenya!$H$2,"Bad")+COUNTIF(Indonesia!$H$2,"Bad")+COUNTIF(Lontar!$H$2,"Bad")+COUNTIF(Kurdish!$H$2,"Bad")</f>
        <v>0</v>
      </c>
      <c r="D7" s="144"/>
    </row>
    <row r="8" spans="1:4" x14ac:dyDescent="0.2">
      <c r="A8" s="140"/>
      <c r="B8" s="7" t="s">
        <v>2</v>
      </c>
      <c r="C8" s="16">
        <f>COUNTIF(Mosquito!$H$2,"Hallucinate")+COUNTIF(Body!$J$2,"Hallucinate")+COUNTIF(Quechua!$I$2,"Hallucinate")+COUNTIF(Melanoma!$H$2,"Hallucinate")+COUNTIF(Leaf!$H$2,"Hallucinate")+COUNTIF(Antimicrobial!$H$2,"Hallucinate")+COUNTIF(Albanian!$H$2,"Hallucinate")+COUNTIF(Prostate!$H$2,"Hallucinate")+COUNTIF(Kenya!$H$2,"Hallucinate")+COUNTIF(Indonesia!$H$2,"Hallucinate")+COUNTIF(Lontar!$H$3,"Hallucinate")+COUNTIF(Kurdish!$H$3,"Hallucinate")</f>
        <v>0</v>
      </c>
      <c r="D8" s="10">
        <f>(C8)/SUM(C4:C8)</f>
        <v>0</v>
      </c>
    </row>
    <row r="9" spans="1:4" ht="16" customHeight="1" x14ac:dyDescent="0.2">
      <c r="A9" s="138" t="s">
        <v>26</v>
      </c>
      <c r="B9" s="3" t="s">
        <v>3</v>
      </c>
      <c r="C9" s="16">
        <f>COUNTIF(Mosquito!$H$3,"Very Good")+COUNTIF(Body!$J$3,"Very Good")+COUNTIF(Quechua!$I$3,"Very Good")+COUNTIF(Melanoma!$H$3,"Very Good")+COUNTIF(Leaf!$H$3,"Very Good")+COUNTIF(Antimicrobial!$H$3,"Very Good")+COUNTIF(Albanian!$H$3,"Very Good")+COUNTIF(Prostate!$H$3,"Very Good")+COUNTIF(Kenya!$H$3,"Very Good")+COUNTIF(Indonesia!$H$3,"Very Good")+COUNTIF(Lontar!$H$3,"Very Good")+COUNTIF(Kurdish!$H$3,"Very Good")</f>
        <v>0</v>
      </c>
      <c r="D9" s="141">
        <f>(C9+C10)/SUM(C9:C13)</f>
        <v>0.72727272727272729</v>
      </c>
    </row>
    <row r="10" spans="1:4" x14ac:dyDescent="0.2">
      <c r="A10" s="139"/>
      <c r="B10" s="4" t="s">
        <v>0</v>
      </c>
      <c r="C10" s="16">
        <f>COUNTIF(Mosquito!$H$3,"Good")+COUNTIF(Body!$J$3,"Good")+COUNTIF(Quechua!$I$3,"Good")+COUNTIF(Melanoma!$H$3,"Good")+COUNTIF(Leaf!$H$3,"Good")+COUNTIF(Antimicrobial!$H$3,"Good")+COUNTIF(Albanian!$H$3,"Good")+COUNTIF(Prostate!$H$3,"Good")+COUNTIF(Kenya!$H$3,"Good")+COUNTIF(Indonesia!$H$3,"Good")+COUNTIF(Lontar!$H$3,"Good")+COUNTIF(Kurdish!$H$3,"Good")</f>
        <v>8</v>
      </c>
      <c r="D10" s="142"/>
    </row>
    <row r="11" spans="1:4" x14ac:dyDescent="0.2">
      <c r="A11" s="139"/>
      <c r="B11" s="5" t="s">
        <v>4</v>
      </c>
      <c r="C11" s="16">
        <f>COUNTIF(Mosquito!$H$3,"Fair")+COUNTIF(Body!$J$3,"Fair")+COUNTIF(Quechua!$I$3,"Fair")+COUNTIF(Melanoma!$H$3,"Fair")+COUNTIF(Leaf!$H$3,"Fair")+COUNTIF(Antimicrobial!$H$3,"Fair")+COUNTIF(Albanian!$H$3,"Fair")+COUNTIF(Prostate!$H$3,"fair")+COUNTIF(Kenya!$H$3,"fair")+COUNTIF(Indonesia!$H$3,"fair")+COUNTIF(Lontar!$H$3,"Fair")+COUNTIF(Kurdish!$H$3,"Fair")</f>
        <v>1</v>
      </c>
      <c r="D11" s="143">
        <f>(C11+C12)/SUM(C9:C13)</f>
        <v>0.27272727272727271</v>
      </c>
    </row>
    <row r="12" spans="1:4" x14ac:dyDescent="0.2">
      <c r="A12" s="139"/>
      <c r="B12" s="6" t="s">
        <v>1</v>
      </c>
      <c r="C12" s="16">
        <f>COUNTIF(Mosquito!$H$3,"Bad")+COUNTIF(Body!$J$3,"Bad")+COUNTIF(Quechua!$I$3,"Bad")+COUNTIF(Melanoma!$H$3,"Bad")+COUNTIF(Leaf!$H$3,"Bad")+COUNTIF(Antimicrobial!$H$3,"Bad")+COUNTIF(Albanian!$H$3,"Bad")+COUNTIF(Prostate!$H$3,"Bad")+COUNTIF(Kenya!$H$3,"Bad")+COUNTIF(Indonesia!$H$3,"Bad")+COUNTIF(Lontar!$H$3,"Bad")+COUNTIF(Kurdish!$H$3,"Bad")</f>
        <v>2</v>
      </c>
      <c r="D12" s="144"/>
    </row>
    <row r="13" spans="1:4" x14ac:dyDescent="0.2">
      <c r="A13" s="140"/>
      <c r="B13" s="7" t="s">
        <v>2</v>
      </c>
      <c r="C13" s="16">
        <f>COUNTIF(Mosquito!$H$3,"Hallucinate")+COUNTIF(Body!$J$3,"Hallucinate")+COUNTIF(Quechua!$I$3,"Hallucinate")+COUNTIF(Melanoma!$H$3,"Hallucinate")+COUNTIF(Leaf!$H$3,"Hallucinate")+COUNTIF(Antimicrobial!$H$3,"Hallucinate")+COUNTIF(Albanian!$H$3,"Hallucinate")+COUNTIF(Prostate!$H$3,"Hallucinate")+COUNTIF(Kenya!$H$3,"Hallucinate")+COUNTIF(Indonesia!$H$3,"Hallucinate")+COUNTIF(Lontar!$H$3,"Hallucinate")+COUNTIF(Kurdish!$H$3,"Hallucinate")</f>
        <v>0</v>
      </c>
      <c r="D13" s="10">
        <f>(C13)/SUM(C9:C13)</f>
        <v>0</v>
      </c>
    </row>
    <row r="14" spans="1:4" x14ac:dyDescent="0.2">
      <c r="A14" s="138" t="s">
        <v>27</v>
      </c>
      <c r="B14" s="3" t="s">
        <v>3</v>
      </c>
      <c r="C14" s="16">
        <f>COUNTIF(Mosquito!$H$4,"Very Good")+COUNTIF(Body!$J$4,"Very Good")+COUNTIF(Quechua!$I$4,"Very Good")+COUNTIF(Melanoma!$H$4,"Very Good")+COUNTIF(Leaf!$H$4,"Very Good")+COUNTIF(Antimicrobial!$H$4,"Very Good")+COUNTIF(Albanian!$H$4,"Very Good")+COUNTIF(Prostate!$H$4,"Very Good")+COUNTIF(Kenya!$H$4,"Very Good")+COUNTIF(Indonesia!$H$4,"Very Good")+COUNTIF(Lontar!$H$4,"Very Good")+COUNTIF(Kurdish!$H$4,"Very Good")</f>
        <v>0</v>
      </c>
      <c r="D14" s="141">
        <f>(C14+C15)/SUM(C14:C18)</f>
        <v>0.5</v>
      </c>
    </row>
    <row r="15" spans="1:4" x14ac:dyDescent="0.2">
      <c r="A15" s="139"/>
      <c r="B15" s="4" t="s">
        <v>0</v>
      </c>
      <c r="C15" s="16">
        <f>COUNTIF(Mosquito!$H$4,"Good")+COUNTIF(Body!$J$4,"Good")+COUNTIF(Quechua!$I$4,"Good")+COUNTIF(Melanoma!$H$4,"Good")+COUNTIF(Leaf!$H$4,"Good")+COUNTIF(Antimicrobial!$H$4,"Good")+COUNTIF(Albanian!$H$4,"Good")+COUNTIF(Prostate!$H$4,"Good")+COUNTIF(Kenya!$H$4,"Good")+COUNTIF(Indonesia!$H$4,"Good")+COUNTIF(Lontar!$H$4,"Good")+COUNTIF(Kurdish!$H$4,"Good")</f>
        <v>6</v>
      </c>
      <c r="D15" s="142"/>
    </row>
    <row r="16" spans="1:4" x14ac:dyDescent="0.2">
      <c r="A16" s="139"/>
      <c r="B16" s="5" t="s">
        <v>4</v>
      </c>
      <c r="C16" s="16">
        <f>COUNTIF(Mosquito!$H$4,"Fair")+COUNTIF(Body!$J$4,"Fair")+COUNTIF(Quechua!$I$4,"Fair")+COUNTIF(Melanoma!$H$4,"Fair")+COUNTIF(Leaf!$H$4,"Fair")+COUNTIF(Antimicrobial!$H$4,"Fair")+COUNTIF(Albanian!$H$4,"Fair")+COUNTIF(Prostate!$H$4,"fair")+COUNTIF(Kenya!$H$4,"fair")+COUNTIF(Indonesia!$H$4,"fair")+COUNTIF(Lontar!$H$4,"Fair")+COUNTIF(Kurdish!$H$4,"Fair")</f>
        <v>1</v>
      </c>
      <c r="D16" s="143">
        <f>(C16+C17)/SUM(C14:C18)</f>
        <v>0.33333333333333331</v>
      </c>
    </row>
    <row r="17" spans="1:4" x14ac:dyDescent="0.2">
      <c r="A17" s="139"/>
      <c r="B17" s="6" t="s">
        <v>1</v>
      </c>
      <c r="C17" s="16">
        <f>COUNTIF(Mosquito!$H$4,"Bad")+COUNTIF(Body!$J$4,"Bad")+COUNTIF(Quechua!$I$4,"Bad")+COUNTIF(Melanoma!$H$4,"Bad")+COUNTIF(Leaf!$H$4,"Bad")+COUNTIF(Antimicrobial!$H$4,"Bad")+COUNTIF(Albanian!$H$4,"Bad")+COUNTIF(Prostate!$H$4,"Bad")+COUNTIF(Kenya!$H$4,"Bad")+COUNTIF(Indonesia!$H$4,"Bad")+COUNTIF(Lontar!$H$4,"Bad")+COUNTIF(Kurdish!$H$4,"Bad")</f>
        <v>3</v>
      </c>
      <c r="D17" s="144"/>
    </row>
    <row r="18" spans="1:4" x14ac:dyDescent="0.2">
      <c r="A18" s="140"/>
      <c r="B18" s="7" t="s">
        <v>2</v>
      </c>
      <c r="C18" s="16">
        <f>COUNTIF(Mosquito!$H$4,"Hallucinate")+COUNTIF(Body!$J$4,"Hallucinate")+COUNTIF(Quechua!$I$4,"Hallucinate")+COUNTIF(Melanoma!$H$4,"Hallucinate")+COUNTIF(Leaf!$H$4,"Hallucinate")+COUNTIF(Antimicrobial!$H$4,"Hallucinate")+COUNTIF(Albanian!$H$4,"Hallucinate")+COUNTIF(Prostate!$H$4,"Hallucinate")+COUNTIF(Kenya!$H$4,"Hallucinate")+COUNTIF(Indonesia!$H$4,"Hallucinate")+COUNTIF(Lontar!$H$4,"Hallucinate")+COUNTIF(Kurdish!$H$4,"Hallucinate")</f>
        <v>2</v>
      </c>
      <c r="D18" s="10">
        <f>(C18)/SUM(C14:C18)</f>
        <v>0.16666666666666666</v>
      </c>
    </row>
    <row r="19" spans="1:4" ht="21" customHeight="1" x14ac:dyDescent="0.25">
      <c r="A19" s="13" t="s">
        <v>24</v>
      </c>
      <c r="B19" s="137" t="s">
        <v>11</v>
      </c>
      <c r="C19" s="137"/>
      <c r="D19" s="137"/>
    </row>
    <row r="20" spans="1:4" x14ac:dyDescent="0.2">
      <c r="A20" s="11" t="s">
        <v>5</v>
      </c>
      <c r="B20" s="11" t="s">
        <v>5</v>
      </c>
      <c r="C20" s="8" t="s">
        <v>192</v>
      </c>
      <c r="D20" s="8" t="s">
        <v>193</v>
      </c>
    </row>
    <row r="21" spans="1:4" x14ac:dyDescent="0.2">
      <c r="A21" s="138" t="s">
        <v>28</v>
      </c>
      <c r="B21" s="3" t="s">
        <v>3</v>
      </c>
      <c r="C21" s="16">
        <f>COUNTIF(Mosquito!$H$5,"Very Good")+COUNTIF(Body!$J$5,"Very Good")+COUNTIF(Quechua!$I$5,"Very Good")+COUNTIF(Melanoma!$H$5,"Very Good")+COUNTIF(Leaf!$H$5,"Very Good")+COUNTIF(Antimicrobial!$H$5,"Very Good")+COUNTIF(Albanian!$H$5,"Very Good")+COUNTIF(Prostate!$H$5,"Very Good")+COUNTIF(Kenya!$H$5,"Very Good")+COUNTIF(Indonesia!$H$5,"Very Good")+COUNTIF(Lontar!$H$5,"Very Good")+COUNTIF(Kurdish!$H$5,"Very Good")</f>
        <v>8</v>
      </c>
      <c r="D21" s="141">
        <f>(C21+C22)/SUM(C21:C25)</f>
        <v>1</v>
      </c>
    </row>
    <row r="22" spans="1:4" x14ac:dyDescent="0.2">
      <c r="A22" s="139"/>
      <c r="B22" s="4" t="s">
        <v>0</v>
      </c>
      <c r="C22" s="16">
        <f>COUNTIF(Mosquito!$H$5,"Good")+COUNTIF(Body!$J$5,"Good")+COUNTIF(Quechua!$I$5,"Good")+COUNTIF(Melanoma!$H$5,"Good")+COUNTIF(Leaf!$H$5,"Good")+COUNTIF(Antimicrobial!$H$5,"Good")+COUNTIF(Albanian!$H$5,"Good")+COUNTIF(Prostate!$H$5,"Good")+COUNTIF(Kenya!$H$5,"Good")+COUNTIF(Indonesia!$H$5,"Good")+COUNTIF(Lontar!$H$5,"Good")+COUNTIF(Kurdish!$H$5,"Good")</f>
        <v>4</v>
      </c>
      <c r="D22" s="142"/>
    </row>
    <row r="23" spans="1:4" x14ac:dyDescent="0.2">
      <c r="A23" s="139"/>
      <c r="B23" s="5" t="s">
        <v>4</v>
      </c>
      <c r="C23" s="16">
        <f>COUNTIF(Mosquito!$H$5,"Fair")+COUNTIF(Body!$J$5,"Fair")+COUNTIF(Quechua!$I$5,"Fair")+COUNTIF(Melanoma!$H$5,"Fair")+COUNTIF(Leaf!$H$5,"Fair")+COUNTIF(Antimicrobial!$H$5,"Fair")+COUNTIF(Albanian!$H$5,"Fair")+COUNTIF(Prostate!$H$5,"fair")+COUNTIF(Kenya!$H$5,"fair")+COUNTIF(Indonesia!$H$5,"fair")+COUNTIF(Lontar!$H$5,"Fair")+COUNTIF(Kurdish!$H$5,"Fair")</f>
        <v>0</v>
      </c>
      <c r="D23" s="143">
        <f>(C23+C24)/SUM(C21:C25)</f>
        <v>0</v>
      </c>
    </row>
    <row r="24" spans="1:4" x14ac:dyDescent="0.2">
      <c r="A24" s="139"/>
      <c r="B24" s="6" t="s">
        <v>1</v>
      </c>
      <c r="C24" s="16">
        <f>COUNTIF(Mosquito!$H$5,"Bad")+COUNTIF(Body!$J$5,"Bad")+COUNTIF(Quechua!$I$5,"Bad")+COUNTIF(Melanoma!$H$5,"Bad")+COUNTIF(Leaf!$H$5,"Bad")+COUNTIF(Antimicrobial!$H$5,"Bad")+COUNTIF(Albanian!$H$5,"Bad")+COUNTIF(Prostate!$H$5,"Bad")+COUNTIF(Kenya!$H$5,"Bad")+COUNTIF(Indonesia!$H$5,"Bad")+COUNTIF(Lontar!$H$5,"Bad")+COUNTIF(Kurdish!$H$5,"Bad")</f>
        <v>0</v>
      </c>
      <c r="D24" s="144"/>
    </row>
    <row r="25" spans="1:4" x14ac:dyDescent="0.2">
      <c r="A25" s="140"/>
      <c r="B25" s="7" t="s">
        <v>2</v>
      </c>
      <c r="C25" s="16">
        <f>COUNTIF(Mosquito!$H$5,"Hallucinate")+COUNTIF(Body!$J$5,"Hallucinate")+COUNTIF(Quechua!$I$5,"Hallucinate")+COUNTIF(Melanoma!$H$5,"Hallucinate")+COUNTIF(Leaf!$H$5,"Hallucinate")+COUNTIF(Antimicrobial!$H$5,"Hallucinate")+COUNTIF(Albanian!$H$5,"Hallucinate")+COUNTIF(Prostate!$H$5,"Hallucinate")+COUNTIF(Kenya!$H$5,"Hallucinate")+COUNTIF(Indonesia!$H$5,"Hallucinate")+COUNTIF(Lontar!$H$5,"Hallucinate")+COUNTIF(Kurdish!$H$5,"Hallucinate")</f>
        <v>0</v>
      </c>
      <c r="D25" s="10">
        <f>(C25)/SUM(C21:C25)</f>
        <v>0</v>
      </c>
    </row>
    <row r="26" spans="1:4" x14ac:dyDescent="0.2">
      <c r="A26" s="138" t="s">
        <v>194</v>
      </c>
      <c r="B26" s="3" t="s">
        <v>3</v>
      </c>
      <c r="C26" s="16">
        <f>COUNTIF(Mosquito!$H$6,"Very Good")+COUNTIF(Body!$J$6,"Very Good")+COUNTIF(Quechua!$I$6,"Very Good")+COUNTIF(Melanoma!$H$6,"Very Good")+COUNTIF(Leaf!$H$6,"Very Good")+COUNTIF(Antimicrobial!$H$6,"Very Good")+COUNTIF(Albanian!$H$6,"Very Good")+COUNTIF(Prostate!$H$6,"Very Good")+COUNTIF(Kenya!$H$6,"Very Good")+COUNTIF(Indonesia!$H$6,"Very Good")+COUNTIF(Lontar!$H$6,"Very Good")+COUNTIF(Kurdish!$H$6,"Very Good")</f>
        <v>5</v>
      </c>
      <c r="D26" s="141">
        <f>(C26+C27)/SUM(C26:C30)</f>
        <v>0.91666666666666663</v>
      </c>
    </row>
    <row r="27" spans="1:4" x14ac:dyDescent="0.2">
      <c r="A27" s="139"/>
      <c r="B27" s="4" t="s">
        <v>0</v>
      </c>
      <c r="C27" s="16">
        <f>COUNTIF(Mosquito!$H$6,"Good")+COUNTIF(Body!$J$6,"Good")+COUNTIF(Quechua!$I$6,"Good")+COUNTIF(Melanoma!$H$6,"Good")+COUNTIF(Leaf!$H$6,"Good")+COUNTIF(Antimicrobial!$H$6,"Good")+COUNTIF(Albanian!$H$6,"Good")+COUNTIF(Prostate!$H$6,"Good")+COUNTIF(Kenya!$H$6,"Good")+COUNTIF(Indonesia!$H$6,"Good")+COUNTIF(Lontar!$H$6,"Good")+COUNTIF(Kurdish!$H$6,"Good")</f>
        <v>6</v>
      </c>
      <c r="D27" s="142"/>
    </row>
    <row r="28" spans="1:4" x14ac:dyDescent="0.2">
      <c r="A28" s="139"/>
      <c r="B28" s="5" t="s">
        <v>4</v>
      </c>
      <c r="C28" s="16">
        <f>COUNTIF(Mosquito!$H$6,"Fair")+COUNTIF(Body!$J$6,"Fair")+COUNTIF(Quechua!$I$6,"Fair")+COUNTIF(Melanoma!$H$6,"Fair")+COUNTIF(Leaf!$H$6,"Fair")+COUNTIF(Antimicrobial!$H$6,"Fair")+COUNTIF(Albanian!$H$6,"Fair")+COUNTIF(Prostate!$H$6,"fair")+COUNTIF(Kenya!$H$6,"fair")+COUNTIF(Indonesia!$H$6,"fair")+COUNTIF(Lontar!$H$6,"Fair")+COUNTIF(Kurdish!$H$6,"Fair")</f>
        <v>0</v>
      </c>
      <c r="D28" s="143">
        <f>(C28+C29)/SUM(C26:C30)</f>
        <v>8.3333333333333329E-2</v>
      </c>
    </row>
    <row r="29" spans="1:4" x14ac:dyDescent="0.2">
      <c r="A29" s="139"/>
      <c r="B29" s="6" t="s">
        <v>1</v>
      </c>
      <c r="C29" s="16">
        <f>COUNTIF(Mosquito!$H$6,"Bad")+COUNTIF(Body!$J$6,"Bad")+COUNTIF(Quechua!$I$6,"Bad")+COUNTIF(Melanoma!$H$6,"Bad")+COUNTIF(Leaf!$H$6,"Bad")+COUNTIF(Antimicrobial!$H$6,"Bad")+COUNTIF(Albanian!$H$6,"Bad")+COUNTIF(Prostate!$H$6,"Bad")+COUNTIF(Kenya!$H$6,"Bad")+COUNTIF(Indonesia!$H$6,"Bad")+COUNTIF(Lontar!$H$6,"Bad")+COUNTIF(Kurdish!$H$6,"Bad")</f>
        <v>1</v>
      </c>
      <c r="D29" s="144"/>
    </row>
    <row r="30" spans="1:4" x14ac:dyDescent="0.2">
      <c r="A30" s="140"/>
      <c r="B30" s="7" t="s">
        <v>2</v>
      </c>
      <c r="C30" s="16">
        <f>COUNTIF(Mosquito!$H$6,"Hallucinate")+COUNTIF(Body!$J$6,"Hallucinate")+COUNTIF(Quechua!$I$6,"Hallucinate")+COUNTIF(Melanoma!$H$6,"Hallucinate")+COUNTIF(Leaf!$H$6,"Hallucinate")+COUNTIF(Antimicrobial!$H$6,"Hallucinate")+COUNTIF(Albanian!$H$6,"Hallucinate")+COUNTIF(Prostate!$H$6,"Hallucinate")+COUNTIF(Kenya!$H$6,"Hallucinate")+COUNTIF(Indonesia!$H$6,"Hallucinate")+COUNTIF(Lontar!$H$6,"Hallucinate")+COUNTIF(Kurdish!$H$6,"Hallucinate")</f>
        <v>0</v>
      </c>
      <c r="D30" s="10">
        <f>(C30)/SUM(C26:C30)</f>
        <v>0</v>
      </c>
    </row>
    <row r="31" spans="1:4" x14ac:dyDescent="0.2">
      <c r="A31" s="138" t="s">
        <v>30</v>
      </c>
      <c r="B31" s="3" t="s">
        <v>3</v>
      </c>
      <c r="C31" s="16">
        <f>COUNTIF(Mosquito!$H$7,"Very Good")+COUNTIF(Body!$J$7,"Very Good")+COUNTIF(Quechua!$I$7,"Very Good")+COUNTIF(Melanoma!$H$7,"Very Good")+COUNTIF(Leaf!$H$7,"Very Good")+COUNTIF(Antimicrobial!$H$7,"Very Good")+COUNTIF(Albanian!$H$7,"Very Good")+COUNTIF(Prostate!$H$7,"Very Good")+COUNTIF(Kenya!$H$7,"Very Good")+COUNTIF(Indonesia!$H$7,"Very Good")+COUNTIF(Lontar!$H$7,"Very Good")+COUNTIF(Kurdish!$H$7,"Very Good")</f>
        <v>2</v>
      </c>
      <c r="D31" s="141">
        <f>(C31+C32)/SUM(C31:C35)</f>
        <v>0.66666666666666663</v>
      </c>
    </row>
    <row r="32" spans="1:4" x14ac:dyDescent="0.2">
      <c r="A32" s="139"/>
      <c r="B32" s="4" t="s">
        <v>0</v>
      </c>
      <c r="C32" s="16">
        <f>COUNTIF(Mosquito!$H$7,"Good")+COUNTIF(Body!$J$7,"Good")+COUNTIF(Quechua!$I$7,"Good")+COUNTIF(Melanoma!$H$7,"Good")+COUNTIF(Leaf!$H$7,"Good")+COUNTIF(Antimicrobial!$H$7,"Good")+COUNTIF(Albanian!$H$7,"Good")+COUNTIF(Prostate!$H$7,"Good")+COUNTIF(Kenya!$H$7,"Good")+COUNTIF(Indonesia!$H$7,"Good")+COUNTIF(Lontar!$H$7,"Good")+COUNTIF(Kurdish!$H$7,"Good")</f>
        <v>6</v>
      </c>
      <c r="D32" s="142"/>
    </row>
    <row r="33" spans="1:4" x14ac:dyDescent="0.2">
      <c r="A33" s="139"/>
      <c r="B33" s="5" t="s">
        <v>4</v>
      </c>
      <c r="C33" s="16">
        <f>COUNTIF(Mosquito!$H$7,"Fair")+COUNTIF(Body!$J$7,"Fair")+COUNTIF(Quechua!$I$7,"Fair")+COUNTIF(Melanoma!$H$7,"Fair")+COUNTIF(Leaf!$H$7,"Fair")+COUNTIF(Antimicrobial!$H$7,"Fair")+COUNTIF(Albanian!$H$7,"Fair")+COUNTIF(Prostate!$H$7,"fair")+COUNTIF(Kenya!$H$7,"fair")+COUNTIF(Indonesia!$H$7,"fair")+COUNTIF(Lontar!$H$7,"Fair")+COUNTIF(Kurdish!$H$7,"Fair")</f>
        <v>4</v>
      </c>
      <c r="D33" s="143">
        <f>(C33+C34)/SUM(C31:C35)</f>
        <v>0.33333333333333331</v>
      </c>
    </row>
    <row r="34" spans="1:4" x14ac:dyDescent="0.2">
      <c r="A34" s="139"/>
      <c r="B34" s="6" t="s">
        <v>1</v>
      </c>
      <c r="C34" s="16">
        <f>COUNTIF(Mosquito!$H$7,"Bad")+COUNTIF(Body!$J$7,"Bad")+COUNTIF(Quechua!$I$7,"Bad")+COUNTIF(Melanoma!$H$7,"Bad")+COUNTIF(Leaf!$H$7,"Bad")+COUNTIF(Antimicrobial!$H$7,"Bad")+COUNTIF(Albanian!$H$7,"Bad")+COUNTIF(Prostate!$H$7,"Bad")+COUNTIF(Kenya!$H$7,"Bad")+COUNTIF(Indonesia!$H$7,"Bad")+COUNTIF(Lontar!$H$7,"Bad")+COUNTIF(Kurdish!$H$7,"Bad")</f>
        <v>0</v>
      </c>
      <c r="D34" s="144"/>
    </row>
    <row r="35" spans="1:4" x14ac:dyDescent="0.2">
      <c r="A35" s="140"/>
      <c r="B35" s="7" t="s">
        <v>2</v>
      </c>
      <c r="C35" s="16">
        <f>COUNTIF(Mosquito!$H$7,"Hallucinate")+COUNTIF(Body!$J$7,"Hallucinate")+COUNTIF(Quechua!$I$7,"Hallucinate")+COUNTIF(Melanoma!$H$7,"Hallucinate")+COUNTIF(Leaf!$H$7,"Hallucinate")+COUNTIF(Antimicrobial!$H$7,"Hallucinate")+COUNTIF(Albanian!$H$7,"Hallucinate")+COUNTIF(Prostate!$H$7,"Hallucinate")+COUNTIF(Kenya!$H$7,"Hallucinate")+COUNTIF(Indonesia!$H$7,"Hallucinate")+COUNTIF(Lontar!$H$7,"Hallucinate")+COUNTIF(Kurdish!$H$7,"Hallucinate")</f>
        <v>0</v>
      </c>
      <c r="D35" s="10">
        <f>(C35)/SUM(C31:C35)</f>
        <v>0</v>
      </c>
    </row>
    <row r="36" spans="1:4" ht="21" customHeight="1" x14ac:dyDescent="0.25">
      <c r="A36" s="13" t="s">
        <v>24</v>
      </c>
      <c r="B36" s="137" t="s">
        <v>12</v>
      </c>
      <c r="C36" s="137"/>
      <c r="D36" s="137"/>
    </row>
    <row r="37" spans="1:4" x14ac:dyDescent="0.2">
      <c r="A37" s="11" t="s">
        <v>5</v>
      </c>
      <c r="B37" s="11" t="s">
        <v>5</v>
      </c>
      <c r="C37" s="8" t="s">
        <v>192</v>
      </c>
      <c r="D37" s="8" t="s">
        <v>193</v>
      </c>
    </row>
    <row r="38" spans="1:4" x14ac:dyDescent="0.2">
      <c r="A38" s="138" t="s">
        <v>31</v>
      </c>
      <c r="B38" s="3" t="s">
        <v>3</v>
      </c>
      <c r="C38" s="16">
        <f>COUNTIF(Mosquito!$H$8,"Very Good")+COUNTIF(Body!$J$8,"Very Good")+COUNTIF(Quechua!$I$8,"Very Good")+COUNTIF(Melanoma!$H$8,"Very Good")+COUNTIF(Leaf!$H$8,"Very Good")+COUNTIF(Antimicrobial!$H$8,"Very Good")+COUNTIF(Albanian!$H$8,"Very Good")+COUNTIF(Prostate!$H$8,"Very Good")+COUNTIF(Kenya!$H$8,"Very Good")+COUNTIF(Indonesia!$H$8,"Very Good")+COUNTIF(Lontar!$H$8,"Very Good")+COUNTIF(Kurdish!$H$8,"Very Good")</f>
        <v>3</v>
      </c>
      <c r="D38" s="141">
        <f>(C38+C39)/SUM(C38:C42)</f>
        <v>0.41666666666666669</v>
      </c>
    </row>
    <row r="39" spans="1:4" x14ac:dyDescent="0.2">
      <c r="A39" s="139"/>
      <c r="B39" s="4" t="s">
        <v>0</v>
      </c>
      <c r="C39" s="16">
        <f>COUNTIF(Mosquito!$H$8,"Good")+COUNTIF(Body!$J$8,"Good")+COUNTIF(Quechua!$I$8,"Good")+COUNTIF(Melanoma!$H$8,"Good")+COUNTIF(Leaf!$H$8,"Good")+COUNTIF(Antimicrobial!$H$8,"Good")+COUNTIF(Albanian!$H$8,"Good")+COUNTIF(Prostate!$H$8,"Good")+COUNTIF(Kenya!$H$8,"Good")+COUNTIF(Indonesia!$H$8,"Good")+COUNTIF(Lontar!$H$8,"Good")+COUNTIF(Kurdish!$H$8,"Good")</f>
        <v>2</v>
      </c>
      <c r="D39" s="142"/>
    </row>
    <row r="40" spans="1:4" x14ac:dyDescent="0.2">
      <c r="A40" s="139"/>
      <c r="B40" s="5" t="s">
        <v>4</v>
      </c>
      <c r="C40" s="16">
        <f>COUNTIF(Mosquito!$H$8,"Fair")+COUNTIF(Body!$J$8,"Fair")+COUNTIF(Quechua!$I$8,"Fair")+COUNTIF(Melanoma!$H$8,"Fair")+COUNTIF(Leaf!$H$8,"Fair")+COUNTIF(Antimicrobial!$H$8,"Fair")+COUNTIF(Albanian!$H$8,"Fair")+COUNTIF(Prostate!$H$8,"fair")+COUNTIF(Kenya!$H$8,"fair")+COUNTIF(Indonesia!$H$8,"fair")+COUNTIF(Lontar!$H$8,"Fair")+COUNTIF(Kurdish!$H$8,"Fair")</f>
        <v>3</v>
      </c>
      <c r="D40" s="143">
        <f>(C40+C41)/SUM(C38:C42)</f>
        <v>0.58333333333333337</v>
      </c>
    </row>
    <row r="41" spans="1:4" x14ac:dyDescent="0.2">
      <c r="A41" s="139"/>
      <c r="B41" s="6" t="s">
        <v>1</v>
      </c>
      <c r="C41" s="16">
        <f>COUNTIF(Mosquito!$H$8,"Bad")+COUNTIF(Body!$J$8,"Bad")+COUNTIF(Quechua!$I$8,"Bad")+COUNTIF(Melanoma!$H$8,"Bad")+COUNTIF(Leaf!$H$8,"Bad")+COUNTIF(Antimicrobial!$H$8,"Bad")+COUNTIF(Albanian!$H$8,"Bad")+COUNTIF(Prostate!$H$8,"Bad")+COUNTIF(Kenya!$H$8,"Bad")+COUNTIF(Indonesia!$H$8,"Bad")+COUNTIF(Lontar!$H$8,"Bad")+COUNTIF(Kurdish!$H$8,"Bad")</f>
        <v>4</v>
      </c>
      <c r="D41" s="144"/>
    </row>
    <row r="42" spans="1:4" x14ac:dyDescent="0.2">
      <c r="A42" s="140"/>
      <c r="B42" s="7" t="s">
        <v>2</v>
      </c>
      <c r="C42" s="16">
        <f>COUNTIF(Mosquito!$H$8,"Hallucinate")+COUNTIF(Body!$J$8,"Hallucinate")+COUNTIF(Quechua!$I$8,"Hallucinate")+COUNTIF(Melanoma!$H$8,"Hallucinate")+COUNTIF(Leaf!$H$8,"Hallucinate")+COUNTIF(Antimicrobial!$H$8,"Hallucinate")+COUNTIF(Albanian!$H$8,"Hallucinate")+COUNTIF(Prostate!$H$8,"Hallucinate")+COUNTIF(Kenya!$H$8,"Hallucinate")+COUNTIF(Indonesia!$H$8,"Hallucinate")+COUNTIF(Lontar!$H$8,"Hallucinate")+COUNTIF(Kurdish!$H$8,"Hallucinate")</f>
        <v>0</v>
      </c>
      <c r="D42" s="10">
        <f>(C42)/SUM(C38:C42)</f>
        <v>0</v>
      </c>
    </row>
    <row r="43" spans="1:4" x14ac:dyDescent="0.2">
      <c r="A43" s="138" t="s">
        <v>195</v>
      </c>
      <c r="B43" s="3" t="s">
        <v>3</v>
      </c>
      <c r="C43" s="16">
        <f>COUNTIF(Mosquito!$H$9,"Very Good")+COUNTIF(Body!$J$9,"Very Good")+COUNTIF(Quechua!$I$9,"Very Good")+COUNTIF(Melanoma!$H$9,"Very Good")+COUNTIF(Leaf!$H$9,"Very Good")+COUNTIF(Antimicrobial!$H$9,"Very Good")+COUNTIF(Albanian!$H$9,"Very Good")+COUNTIF(Prostate!$H$9,"Very Good")+COUNTIF(Kenya!$H$9,"Very Good")+COUNTIF(Indonesia!$H$9,"Very Good")+COUNTIF(Lontar!$H$9,"Very Good")+COUNTIF(Kurdish!$H$9,"Very Good")</f>
        <v>0</v>
      </c>
      <c r="D43" s="141">
        <f>(C43+C44)/SUM(C43:C47)</f>
        <v>0.25</v>
      </c>
    </row>
    <row r="44" spans="1:4" x14ac:dyDescent="0.2">
      <c r="A44" s="139"/>
      <c r="B44" s="4" t="s">
        <v>0</v>
      </c>
      <c r="C44" s="16">
        <f>COUNTIF(Mosquito!$H$9,"Good")+COUNTIF(Body!$J$9,"Good")+COUNTIF(Quechua!$I$9,"Good")+COUNTIF(Melanoma!$H$9,"Good")+COUNTIF(Leaf!$H$9,"Good")+COUNTIF(Antimicrobial!$H$9,"Good")+COUNTIF(Albanian!$H$9,"Good")+COUNTIF(Prostate!$H$9,"Good")+COUNTIF(Kenya!$H$9,"Good")+COUNTIF(Indonesia!$H$9,"Good")+COUNTIF(Lontar!$H$9,"Good")+COUNTIF(Kurdish!$H$9,"Good")</f>
        <v>3</v>
      </c>
      <c r="D44" s="142"/>
    </row>
    <row r="45" spans="1:4" x14ac:dyDescent="0.2">
      <c r="A45" s="139"/>
      <c r="B45" s="5" t="s">
        <v>4</v>
      </c>
      <c r="C45" s="16">
        <f>COUNTIF(Mosquito!$H$9,"Fair")+COUNTIF(Body!$J$9,"Fair")+COUNTIF(Quechua!$I$9,"Fair")+COUNTIF(Melanoma!$H$9,"Fair")+COUNTIF(Leaf!$H$9,"Fair")+COUNTIF(Antimicrobial!$H$9,"Fair")+COUNTIF(Albanian!$H$9,"Fair")+COUNTIF(Prostate!$H$9,"fair")+COUNTIF(Kenya!$H$9,"fair")+COUNTIF(Indonesia!$H$9,"fair")+COUNTIF(Lontar!$H$9,"Fair")+COUNTIF(Kurdish!$H$9,"Fair")</f>
        <v>2</v>
      </c>
      <c r="D45" s="143">
        <f>(C45+C46)/SUM(C43:C47)</f>
        <v>0.66666666666666663</v>
      </c>
    </row>
    <row r="46" spans="1:4" x14ac:dyDescent="0.2">
      <c r="A46" s="139"/>
      <c r="B46" s="6" t="s">
        <v>1</v>
      </c>
      <c r="C46" s="16">
        <f>COUNTIF(Mosquito!$H$9,"Bad")+COUNTIF(Body!$J$9,"Bad")+COUNTIF(Quechua!$I$9,"Bad")+COUNTIF(Melanoma!$H$9,"Bad")+COUNTIF(Leaf!$H$9,"Bad")+COUNTIF(Antimicrobial!$H$9,"Bad")+COUNTIF(Albanian!$H$9,"Bad")+COUNTIF(Prostate!$H$9,"Bad")+COUNTIF(Kenya!$H$9,"Bad")+COUNTIF(Indonesia!$H$9,"Bad")+COUNTIF(Lontar!$H$9,"Bad")+COUNTIF(Kurdish!$H$9,"Bad")</f>
        <v>6</v>
      </c>
      <c r="D46" s="144"/>
    </row>
    <row r="47" spans="1:4" x14ac:dyDescent="0.2">
      <c r="A47" s="140"/>
      <c r="B47" s="7" t="s">
        <v>2</v>
      </c>
      <c r="C47" s="16">
        <f>COUNTIF(Mosquito!$H$9,"Hallucinate")+COUNTIF(Body!$J$9,"Hallucinate")+COUNTIF(Quechua!$I$9,"Hallucinate")+COUNTIF(Melanoma!$H$9,"Hallucinate")+COUNTIF(Leaf!$H$9,"Hallucinate")+COUNTIF(Antimicrobial!$H$9,"Hallucinate")+COUNTIF(Albanian!$H$9,"Hallucinate")+COUNTIF(Prostate!$H$9,"Hallucinate")+COUNTIF(Kenya!$H$9,"Hallucinate")+COUNTIF(Indonesia!$H$9,"Hallucinate")+COUNTIF(Lontar!$H$9,"Hallucinate")+COUNTIF(Kurdish!$H$9,"Hallucinate")</f>
        <v>1</v>
      </c>
      <c r="D47" s="10">
        <f>(C47)/SUM(C43:C47)</f>
        <v>8.3333333333333329E-2</v>
      </c>
    </row>
    <row r="48" spans="1:4" x14ac:dyDescent="0.2">
      <c r="A48" s="138" t="s">
        <v>33</v>
      </c>
      <c r="B48" s="3" t="s">
        <v>3</v>
      </c>
      <c r="C48" s="16">
        <f>COUNTIF(Mosquito!$H$10,"Very Good")+COUNTIF(Body!$J$10,"Very Good")+COUNTIF(Quechua!$I$10,"Very Good")+COUNTIF(Melanoma!$H$10,"Very Good")+COUNTIF(Leaf!$H$10,"Very Good")+COUNTIF(Antimicrobial!$H$10,"Very Good")+COUNTIF(Albanian!$H$10,"Very Good")+COUNTIF(Prostate!$H$10,"Very Good")+COUNTIF(Kenya!$H$10,"Very Good")+COUNTIF(Indonesia!$H$10,"Very Good")+COUNTIF(Lontar!$H$10,"Very Good")+COUNTIF(Kurdish!$H$10,"Very Good")</f>
        <v>6</v>
      </c>
      <c r="D48" s="141">
        <f>(C48+C49)/SUM(C48:C52)</f>
        <v>0.75</v>
      </c>
    </row>
    <row r="49" spans="1:4" x14ac:dyDescent="0.2">
      <c r="A49" s="139"/>
      <c r="B49" s="4" t="s">
        <v>0</v>
      </c>
      <c r="C49" s="16">
        <f>COUNTIF(Mosquito!$H$10,"Good")+COUNTIF(Body!$J$10,"Good")+COUNTIF(Quechua!$I$10,"Good")+COUNTIF(Melanoma!$H$10,"Good")+COUNTIF(Leaf!$H$10,"Good")+COUNTIF(Antimicrobial!$H$10,"Good")+COUNTIF(Albanian!$H$10,"Good")+COUNTIF(Prostate!$H$10,"Good")+COUNTIF(Kenya!$H$10,"Good")+COUNTIF(Indonesia!$H$10,"Good")+COUNTIF(Lontar!$H$10,"Good")+COUNTIF(Kurdish!$H$10,"Good")</f>
        <v>3</v>
      </c>
      <c r="D49" s="142"/>
    </row>
    <row r="50" spans="1:4" x14ac:dyDescent="0.2">
      <c r="A50" s="139"/>
      <c r="B50" s="5" t="s">
        <v>4</v>
      </c>
      <c r="C50" s="16">
        <f>COUNTIF(Mosquito!$H$10,"Fair")+COUNTIF(Body!$J$10,"Fair")+COUNTIF(Quechua!$I$10,"Fair")+COUNTIF(Melanoma!$H$10,"Fair")+COUNTIF(Leaf!$H$10,"Fair")+COUNTIF(Antimicrobial!$H$10,"Fair")+COUNTIF(Albanian!$H$10,"Fair")+COUNTIF(Prostate!$H$10,"fair")+COUNTIF(Kenya!$H$10,"fair")+COUNTIF(Indonesia!$H$10,"fair")+COUNTIF(Lontar!$H$10,"Fair")+COUNTIF(Kurdish!$H$10,"Fair")</f>
        <v>1</v>
      </c>
      <c r="D50" s="143">
        <f>(C50+C51)/SUM(C48:C52)</f>
        <v>0.25</v>
      </c>
    </row>
    <row r="51" spans="1:4" x14ac:dyDescent="0.2">
      <c r="A51" s="139"/>
      <c r="B51" s="6" t="s">
        <v>1</v>
      </c>
      <c r="C51" s="16">
        <f>COUNTIF(Mosquito!$H$10,"Bad")+COUNTIF(Body!$J$10,"Bad")+COUNTIF(Quechua!$I$10,"Bad")+COUNTIF(Melanoma!$H$10,"Bad")+COUNTIF(Leaf!$H$10,"Bad")+COUNTIF(Antimicrobial!$H$10,"Bad")+COUNTIF(Albanian!$H$10,"Bad")+COUNTIF(Prostate!$H$10,"Bad")+COUNTIF(Kenya!$H$10,"Bad")+COUNTIF(Indonesia!$H$10,"Bad")+COUNTIF(Lontar!$H$10,"Bad")+COUNTIF(Kurdish!$H$10,"Bad")</f>
        <v>2</v>
      </c>
      <c r="D51" s="144"/>
    </row>
    <row r="52" spans="1:4" x14ac:dyDescent="0.2">
      <c r="A52" s="140"/>
      <c r="B52" s="7" t="s">
        <v>2</v>
      </c>
      <c r="C52" s="16">
        <f>COUNTIF(Mosquito!$H$10,"Hallucinate")+COUNTIF(Body!$J$10,"Hallucinate")+COUNTIF(Quechua!$I$10,"Hallucinate")+COUNTIF(Melanoma!$H$10,"Hallucinate")+COUNTIF(Leaf!$H$10,"Hallucinate")+COUNTIF(Antimicrobial!$H$10,"Hallucinate")+COUNTIF(Albanian!$H$10,"Hallucinate")+COUNTIF(Prostate!$H$10,"Hallucinate")+COUNTIF(Kenya!$H$10,"Hallucinate")+COUNTIF(Indonesia!$H$10,"Hallucinate")+COUNTIF(Lontar!$H$10,"Hallucinate")+COUNTIF(Kurdish!$H$10,"Hallucinate")</f>
        <v>0</v>
      </c>
      <c r="D52" s="10">
        <f>(C52)/SUM(C48:C52)</f>
        <v>0</v>
      </c>
    </row>
    <row r="53" spans="1:4" ht="21" customHeight="1" x14ac:dyDescent="0.25">
      <c r="A53" s="13" t="s">
        <v>24</v>
      </c>
      <c r="B53" s="137" t="s">
        <v>13</v>
      </c>
      <c r="C53" s="137"/>
      <c r="D53" s="137"/>
    </row>
    <row r="54" spans="1:4" x14ac:dyDescent="0.2">
      <c r="A54" s="11" t="s">
        <v>5</v>
      </c>
      <c r="B54" s="11" t="s">
        <v>5</v>
      </c>
      <c r="C54" s="8" t="s">
        <v>192</v>
      </c>
      <c r="D54" s="8" t="s">
        <v>193</v>
      </c>
    </row>
    <row r="55" spans="1:4" ht="16" customHeight="1" x14ac:dyDescent="0.2">
      <c r="A55" s="138" t="s">
        <v>76</v>
      </c>
      <c r="B55" s="3" t="s">
        <v>3</v>
      </c>
      <c r="C55" s="16">
        <f>COUNTIF(Mosquito!$H$11,"Very Good")+COUNTIF(Body!$J$11,"Very Good")+COUNTIF(Quechua!$I$11,"Very Good")+COUNTIF(Melanoma!$H$11,"Very Good")+COUNTIF(Leaf!$H$11,"Very Good")+COUNTIF(Antimicrobial!$H$11,"Very Good")+COUNTIF(Albanian!$H$11,"Very Good")+COUNTIF(Prostate!$H$11,"Very Good")+COUNTIF(Kenya!$H$11,"Very Good")+COUNTIF(Indonesia!$H$11,"Very Good")+COUNTIF(Lontar!$H$11,"Very Good")+COUNTIF(Kurdish!$H$11,"Very Good")</f>
        <v>1</v>
      </c>
      <c r="D55" s="141">
        <f>(C55+C56)/SUM(C55:C59)</f>
        <v>0.91666666666666663</v>
      </c>
    </row>
    <row r="56" spans="1:4" x14ac:dyDescent="0.2">
      <c r="A56" s="139"/>
      <c r="B56" s="4" t="s">
        <v>0</v>
      </c>
      <c r="C56" s="16">
        <f>COUNTIF(Mosquito!$H$11,"Good")+COUNTIF(Body!$J$11,"Good")+COUNTIF(Quechua!$I$11,"Good")+COUNTIF(Melanoma!$H$11,"Good")+COUNTIF(Leaf!$H$11,"Good")+COUNTIF(Antimicrobial!$H$11,"Good")+COUNTIF(Albanian!$H$11,"Good")+COUNTIF(Prostate!$H$11,"Good")+COUNTIF(Kenya!$H$11,"Good")+COUNTIF(Indonesia!$H$11,"Good")+COUNTIF(Lontar!$H$11,"Good")+COUNTIF(Kurdish!$H$11,"Good")</f>
        <v>10</v>
      </c>
      <c r="D56" s="142"/>
    </row>
    <row r="57" spans="1:4" x14ac:dyDescent="0.2">
      <c r="A57" s="139"/>
      <c r="B57" s="5" t="s">
        <v>4</v>
      </c>
      <c r="C57" s="16">
        <f>COUNTIF(Mosquito!$H$11,"Fair")+COUNTIF(Body!$J$11,"Fair")+COUNTIF(Quechua!$I$11,"Fair")+COUNTIF(Melanoma!$H$11,"Fair")+COUNTIF(Leaf!$H$11,"Fair")+COUNTIF(Antimicrobial!$H$11,"Fair")+COUNTIF(Albanian!$H$11,"Fair")+COUNTIF(Prostate!$H$11,"fair")+COUNTIF(Kenya!$H$11,"fair")+COUNTIF(Indonesia!$H$11,"fair")+COUNTIF(Lontar!$H$11,"Fair")+COUNTIF(Kurdish!$H$11,"Fair")</f>
        <v>1</v>
      </c>
      <c r="D57" s="143">
        <f>(C57+C58)/SUM(C55:C59)</f>
        <v>8.3333333333333329E-2</v>
      </c>
    </row>
    <row r="58" spans="1:4" x14ac:dyDescent="0.2">
      <c r="A58" s="139"/>
      <c r="B58" s="6" t="s">
        <v>1</v>
      </c>
      <c r="C58" s="16">
        <f>COUNTIF(Mosquito!$H$11,"Bad")+COUNTIF(Body!$J$11,"Bad")+COUNTIF(Quechua!$I$11,"Bad")+COUNTIF(Melanoma!$H$11,"Bad")+COUNTIF(Leaf!$H$11,"Bad")+COUNTIF(Antimicrobial!$H$11,"Bad")+COUNTIF(Albanian!$H$11,"Bad")+COUNTIF(Prostate!$H$11,"Bad")+COUNTIF(Kenya!$H$11,"Bad")+COUNTIF(Indonesia!$H$11,"Bad")+COUNTIF(Lontar!$H$11,"Bad")+COUNTIF(Kurdish!$H$11,"Bad")</f>
        <v>0</v>
      </c>
      <c r="D58" s="144"/>
    </row>
    <row r="59" spans="1:4" x14ac:dyDescent="0.2">
      <c r="A59" s="140"/>
      <c r="B59" s="7" t="s">
        <v>2</v>
      </c>
      <c r="C59" s="16">
        <f>COUNTIF(Mosquito!$H$11,"Hallucinate")+COUNTIF(Body!$J$11,"Hallucinate")+COUNTIF(Quechua!$I$11,"Hallucinate")+COUNTIF(Melanoma!$H$11,"Hallucinate")+COUNTIF(Leaf!$H$11,"Hallucinate")+COUNTIF(Antimicrobial!$H$11,"Hallucinate")+COUNTIF(Albanian!$H$11,"Hallucinate")+COUNTIF(Prostate!$H$11,"Hallucinate")+COUNTIF(Kenya!$H$11,"Hallucinate")+COUNTIF(Indonesia!$H$11,"Hallucinate")+COUNTIF(Lontar!$H$11,"Hallucinate")+COUNTIF(Kurdish!$H$11,"Hallucinate")</f>
        <v>0</v>
      </c>
      <c r="D59" s="10">
        <f>(C59)/SUM(C55:C59)</f>
        <v>0</v>
      </c>
    </row>
    <row r="60" spans="1:4" x14ac:dyDescent="0.2">
      <c r="A60" s="138" t="s">
        <v>74</v>
      </c>
      <c r="B60" s="3" t="s">
        <v>3</v>
      </c>
      <c r="C60" s="16">
        <f>COUNTIF(Mosquito!$H$12,"Very Good")+COUNTIF(Body!$J$12,"Very Good")+COUNTIF(Quechua!$I$12,"Very Good")+COUNTIF(Melanoma!$H$12,"Very Good")+COUNTIF(Leaf!$H$12,"Very Good")+COUNTIF(Antimicrobial!$H$12,"Very Good")+COUNTIF(Albanian!$H$12,"Very Good")+COUNTIF(Prostate!$H$12,"Very Good")+COUNTIF(Kenya!$H$12,"Very Good")+COUNTIF(Indonesia!$H$12,"Very Good")+COUNTIF(Lontar!$H$12,"Very Good")+COUNTIF(Kurdish!$H$12,"Very Good")</f>
        <v>6</v>
      </c>
      <c r="D60" s="141">
        <f>(C60+C61)/SUM(C60:C64)</f>
        <v>1</v>
      </c>
    </row>
    <row r="61" spans="1:4" x14ac:dyDescent="0.2">
      <c r="A61" s="139"/>
      <c r="B61" s="4" t="s">
        <v>0</v>
      </c>
      <c r="C61" s="16">
        <f>COUNTIF(Mosquito!$H$12,"Good")+COUNTIF(Body!$J$12,"Good")+COUNTIF(Quechua!$I$12,"Good")+COUNTIF(Melanoma!$H$12,"Good")+COUNTIF(Leaf!$H$12,"Good")+COUNTIF(Antimicrobial!$H$12,"Good")+COUNTIF(Albanian!$H$12,"Good")+COUNTIF(Prostate!$H$12,"Good")+COUNTIF(Kenya!$H$12,"Good")+COUNTIF(Indonesia!$H$12,"Good")+COUNTIF(Lontar!$H$12,"Good")+COUNTIF(Kurdish!$H$12,"Good")</f>
        <v>6</v>
      </c>
      <c r="D61" s="142"/>
    </row>
    <row r="62" spans="1:4" x14ac:dyDescent="0.2">
      <c r="A62" s="139"/>
      <c r="B62" s="5" t="s">
        <v>4</v>
      </c>
      <c r="C62" s="16">
        <f>COUNTIF(Mosquito!$H$12,"Fair")+COUNTIF(Body!$J$12,"Fair")+COUNTIF(Quechua!$I$12,"Fair")+COUNTIF(Melanoma!$H$12,"Fair")+COUNTIF(Leaf!$H$12,"Fair")+COUNTIF(Antimicrobial!$H$12,"Fair")+COUNTIF(Albanian!$H$12,"Fair")+COUNTIF(Prostate!$H$12,"fair")+COUNTIF(Kenya!$H$12,"fair")+COUNTIF(Indonesia!$H$12,"fair")+COUNTIF(Lontar!$H$12,"Fair")+COUNTIF(Kurdish!$H$12,"Fair")</f>
        <v>0</v>
      </c>
      <c r="D62" s="143">
        <f>(C62+C63)/SUM(C60:C64)</f>
        <v>0</v>
      </c>
    </row>
    <row r="63" spans="1:4" x14ac:dyDescent="0.2">
      <c r="A63" s="139"/>
      <c r="B63" s="6" t="s">
        <v>1</v>
      </c>
      <c r="C63" s="16">
        <f>COUNTIF(Mosquito!$H$12,"Bad")+COUNTIF(Body!$J$12,"Bad")+COUNTIF(Quechua!$I$12,"Bad")+COUNTIF(Melanoma!$H$12,"Bad")+COUNTIF(Leaf!$H$12,"Bad")+COUNTIF(Antimicrobial!$H$12,"Bad")+COUNTIF(Albanian!$H$12,"Bad")+COUNTIF(Prostate!$H$12,"Bad")+COUNTIF(Kenya!$H$12,"Bad")+COUNTIF(Indonesia!$H$12,"Bad")+COUNTIF(Lontar!$H$12,"Bad")+COUNTIF(Kurdish!$H$12,"Bad")</f>
        <v>0</v>
      </c>
      <c r="D63" s="144"/>
    </row>
    <row r="64" spans="1:4" x14ac:dyDescent="0.2">
      <c r="A64" s="140"/>
      <c r="B64" s="7" t="s">
        <v>2</v>
      </c>
      <c r="C64" s="16">
        <f>COUNTIF(Mosquito!$H$12,"Hallucinate")+COUNTIF(Body!$J$12,"Hallucinate")+COUNTIF(Quechua!$I$12,"Hallucinate")+COUNTIF(Melanoma!$H$12,"Hallucinate")+COUNTIF(Leaf!$H$12,"Hallucinate")+COUNTIF(Antimicrobial!$H$12,"Hallucinate")+COUNTIF(Albanian!$H$12,"Hallucinate")+COUNTIF(Prostate!$H$12,"Hallucinate")+COUNTIF(Kenya!$H$12,"Hallucinate")+COUNTIF(Indonesia!$H$12,"Hallucinate")+COUNTIF(Lontar!$H$12,"Hallucinate")+COUNTIF(Kurdish!$H$12,"Hallucinate")</f>
        <v>0</v>
      </c>
      <c r="D64" s="10">
        <f>(C64)/SUM(C60:C64)</f>
        <v>0</v>
      </c>
    </row>
    <row r="65" spans="1:4" ht="16" customHeight="1" x14ac:dyDescent="0.2">
      <c r="A65" s="138" t="s">
        <v>196</v>
      </c>
      <c r="B65" s="3" t="s">
        <v>3</v>
      </c>
      <c r="C65" s="16">
        <f>COUNTIF(Mosquito!$H$13,"Very Good")+COUNTIF(Body!$J$13,"Very Good")+COUNTIF(Quechua!$I$13,"Very Good")+COUNTIF(Melanoma!$H$13,"Very Good")+COUNTIF(Leaf!$H$13,"Very Good")+COUNTIF(Antimicrobial!$H$13,"Very Good")+COUNTIF(Albanian!$H$13,"Very Good")+COUNTIF(Prostate!$H$13,"Very Good")+COUNTIF(Kenya!$H$13,"Very Good")+COUNTIF(Indonesia!$H$13,"Very Good")+COUNTIF(Lontar!$H$13,"Very Good")+COUNTIF(Kurdish!$H$13,"Very Good")</f>
        <v>1</v>
      </c>
      <c r="D65" s="141">
        <f>(C65+C66)/SUM(C65:C69)</f>
        <v>0.5</v>
      </c>
    </row>
    <row r="66" spans="1:4" x14ac:dyDescent="0.2">
      <c r="A66" s="139"/>
      <c r="B66" s="4" t="s">
        <v>0</v>
      </c>
      <c r="C66" s="16">
        <f>COUNTIF(Mosquito!$H$13,"Good")+COUNTIF(Body!$J$13,"Good")+COUNTIF(Quechua!$I$13,"Good")+COUNTIF(Melanoma!$H$13,"Good")+COUNTIF(Leaf!$H$13,"Good")+COUNTIF(Antimicrobial!$H$13,"Good")+COUNTIF(Albanian!$H$13,"Good")+COUNTIF(Prostate!$H$13,"Good")+COUNTIF(Kenya!$H$13,"Good")+COUNTIF(Indonesia!$H$13,"Good")+COUNTIF(Lontar!$H$13,"Good")+COUNTIF(Kurdish!$H$13,"Good")</f>
        <v>5</v>
      </c>
      <c r="D66" s="142"/>
    </row>
    <row r="67" spans="1:4" x14ac:dyDescent="0.2">
      <c r="A67" s="139"/>
      <c r="B67" s="5" t="s">
        <v>4</v>
      </c>
      <c r="C67" s="16">
        <f>COUNTIF(Mosquito!$H$13,"Fair")+COUNTIF(Body!$J$13,"Fair")+COUNTIF(Quechua!$I$13,"Fair")+COUNTIF(Melanoma!$H$13,"Fair")+COUNTIF(Leaf!$H$13,"Fair")+COUNTIF(Antimicrobial!$H$13,"Fair")+COUNTIF(Albanian!$H$13,"Fair")+COUNTIF(Prostate!$H$13,"fair")+COUNTIF(Kenya!$H$13,"fair")+COUNTIF(Indonesia!$H$13,"fair")+COUNTIF(Lontar!$H$13,"Fair")+COUNTIF(Kurdish!$H$13,"Fair")</f>
        <v>2</v>
      </c>
      <c r="D67" s="143">
        <f>(C67+C68)/SUM(C65:C69)</f>
        <v>0.5</v>
      </c>
    </row>
    <row r="68" spans="1:4" x14ac:dyDescent="0.2">
      <c r="A68" s="139"/>
      <c r="B68" s="6" t="s">
        <v>1</v>
      </c>
      <c r="C68" s="16">
        <f>COUNTIF(Mosquito!$H$13,"Bad")+COUNTIF(Body!$J$13,"Bad")+COUNTIF(Quechua!$I$13,"Bad")+COUNTIF(Melanoma!$H$13,"Bad")+COUNTIF(Leaf!$H$13,"Bad")+COUNTIF(Antimicrobial!$H$13,"Bad")+COUNTIF(Albanian!$H$13,"Bad")+COUNTIF(Prostate!$H$13,"Bad")+COUNTIF(Kenya!$H$13,"Bad")+COUNTIF(Indonesia!$H$13,"Bad")+COUNTIF(Lontar!$H$13,"Bad")+COUNTIF(Kurdish!$H$13,"Bad")</f>
        <v>4</v>
      </c>
      <c r="D68" s="144"/>
    </row>
    <row r="69" spans="1:4" x14ac:dyDescent="0.2">
      <c r="A69" s="140"/>
      <c r="B69" s="7" t="s">
        <v>2</v>
      </c>
      <c r="C69" s="16">
        <f>COUNTIF(Mosquito!$H$13,"Hallucinate")+COUNTIF(Body!$J$13,"Hallucinate")+COUNTIF(Quechua!$I$13,"Hallucinate")+COUNTIF(Melanoma!$H$13,"Hallucinate")+COUNTIF(Leaf!$H$13,"Hallucinate")+COUNTIF(Antimicrobial!$H$13,"Hallucinate")+COUNTIF(Albanian!$H$13,"Hallucinate")+COUNTIF(Prostate!$H$13,"Hallucinate")+COUNTIF(Kenya!$H$13,"Hallucinate")+COUNTIF(Indonesia!$H$13,"Hallucinate")+COUNTIF(Lontar!$H$13,"Hallucinate")+COUNTIF(Kurdish!$H$13,"Hallucinate")</f>
        <v>0</v>
      </c>
      <c r="D69" s="10">
        <f>(C69)/SUM(C65:C69)</f>
        <v>0</v>
      </c>
    </row>
    <row r="70" spans="1:4" ht="21" customHeight="1" x14ac:dyDescent="0.25">
      <c r="A70" s="13" t="s">
        <v>24</v>
      </c>
      <c r="B70" s="137" t="s">
        <v>14</v>
      </c>
      <c r="C70" s="137"/>
      <c r="D70" s="137"/>
    </row>
    <row r="71" spans="1:4" x14ac:dyDescent="0.2">
      <c r="A71" s="11" t="s">
        <v>5</v>
      </c>
      <c r="B71" s="11" t="s">
        <v>5</v>
      </c>
      <c r="C71" s="8" t="s">
        <v>192</v>
      </c>
      <c r="D71" s="8" t="s">
        <v>193</v>
      </c>
    </row>
    <row r="72" spans="1:4" x14ac:dyDescent="0.2">
      <c r="A72" s="138" t="s">
        <v>197</v>
      </c>
      <c r="B72" s="3" t="s">
        <v>3</v>
      </c>
      <c r="C72" s="16">
        <f>COUNTIF(Mosquito!$H$15,"Very Good")+COUNTIF(Body!$J$15,"Very Good")+COUNTIF(Quechua!$I$15,"Very Good")+COUNTIF(Melanoma!$H$15,"Very Good")+COUNTIF(Leaf!$H$15,"Very Good")+COUNTIF(Antimicrobial!$H$15,"Very Good")+COUNTIF(Albanian!$H$15,"Very Good")+COUNTIF(Prostate!$H$15,"Very Good")+COUNTIF(Kenya!$H$15,"Very Good")+COUNTIF(Indonesia!$H$15,"Very Good")+COUNTIF(Lontar!$H$15,"Very Good")+COUNTIF(Kurdish!$H$15,"Very Good")</f>
        <v>2</v>
      </c>
      <c r="D72" s="141">
        <f>(C72+C73)/SUM(C72:C76)</f>
        <v>0.83333333333333337</v>
      </c>
    </row>
    <row r="73" spans="1:4" x14ac:dyDescent="0.2">
      <c r="A73" s="139"/>
      <c r="B73" s="4" t="s">
        <v>0</v>
      </c>
      <c r="C73" s="16">
        <f>COUNTIF(Mosquito!$H$15,"Good")+COUNTIF(Body!$J$15,"Good")+COUNTIF(Quechua!$I$15,"Good")+COUNTIF(Melanoma!$H$15,"Good")+COUNTIF(Leaf!$H$15,"Good")+COUNTIF(Antimicrobial!$H$15,"Good")+COUNTIF(Albanian!$H$15,"Good")+COUNTIF(Prostate!$H$15,"Good")+COUNTIF(Kenya!$H$15,"Good")+COUNTIF(Indonesia!$H$15,"Good")+COUNTIF(Lontar!$H$15,"Good")+COUNTIF(Kurdish!$H$15,"Good")</f>
        <v>8</v>
      </c>
      <c r="D73" s="142"/>
    </row>
    <row r="74" spans="1:4" x14ac:dyDescent="0.2">
      <c r="A74" s="139"/>
      <c r="B74" s="5" t="s">
        <v>4</v>
      </c>
      <c r="C74" s="16">
        <f>COUNTIF(Mosquito!$H$15,"Fair")+COUNTIF(Body!$J$15,"Fair")+COUNTIF(Quechua!$I$15,"Fair")+COUNTIF(Melanoma!$H$15,"Fair")+COUNTIF(Leaf!$H$15,"Fair")+COUNTIF(Antimicrobial!$H$15,"Fair")+COUNTIF(Albanian!$H$15,"Fair")+COUNTIF(Prostate!$H$15,"fair")+COUNTIF(Kenya!$H$15,"fair")+COUNTIF(Indonesia!$H$15,"fair")+COUNTIF(Lontar!$H$15,"Fair")+COUNTIF(Kurdish!$H$15,"Fair")</f>
        <v>2</v>
      </c>
      <c r="D74" s="143">
        <f>(C74+C75)/SUM(C72:C76)</f>
        <v>0.16666666666666666</v>
      </c>
    </row>
    <row r="75" spans="1:4" x14ac:dyDescent="0.2">
      <c r="A75" s="139"/>
      <c r="B75" s="6" t="s">
        <v>1</v>
      </c>
      <c r="C75" s="16">
        <f>COUNTIF(Mosquito!$H$15,"Bad")+COUNTIF(Body!$J$15,"Bad")+COUNTIF(Quechua!$I$15,"Bad")+COUNTIF(Melanoma!$H$15,"Bad")+COUNTIF(Leaf!$H$15,"Bad")+COUNTIF(Antimicrobial!$H$15,"Bad")+COUNTIF(Albanian!$H$15,"Bad")+COUNTIF(Prostate!$H$15,"Bad")+COUNTIF(Kenya!$H$15,"Bad")+COUNTIF(Indonesia!$H$15,"Bad")+COUNTIF(Lontar!$H$15,"Bad")+COUNTIF(Kurdish!$H$15,"Bad")</f>
        <v>0</v>
      </c>
      <c r="D75" s="144"/>
    </row>
    <row r="76" spans="1:4" x14ac:dyDescent="0.2">
      <c r="A76" s="140"/>
      <c r="B76" s="7" t="s">
        <v>2</v>
      </c>
      <c r="C76" s="16">
        <f>COUNTIF(Mosquito!$H$15,"Hallucinate")+COUNTIF(Body!$J$15,"Hallucinate")+COUNTIF(Quechua!$I$15,"Hallucinate")+COUNTIF(Melanoma!$H$15,"Hallucinate")+COUNTIF(Leaf!$H$15,"Hallucinate")+COUNTIF(Antimicrobial!$H$15,"Hallucinate")+COUNTIF(Albanian!$H$15,"Hallucinate")+COUNTIF(Prostate!$H$15,"Hallucinate")+COUNTIF(Kenya!$H$15,"Hallucinate")+COUNTIF(Indonesia!$H$15,"Hallucinate")+COUNTIF(Lontar!$H$15,"Hallucinate")+COUNTIF(Kurdish!$H$15,"Hallucinate")</f>
        <v>0</v>
      </c>
      <c r="D76" s="10">
        <f>(C76)/SUM(C72:C76)</f>
        <v>0</v>
      </c>
    </row>
    <row r="77" spans="1:4" x14ac:dyDescent="0.2">
      <c r="A77" s="138" t="s">
        <v>198</v>
      </c>
      <c r="B77" s="3" t="s">
        <v>3</v>
      </c>
      <c r="C77" s="16">
        <f>COUNTIF(Mosquito!$H$16,"Very Good")+COUNTIF(Body!$J$16,"Very Good")+COUNTIF(Quechua!$I$16,"Very Good")+COUNTIF(Melanoma!$H$16,"Very Good")+COUNTIF(Leaf!$H$16,"Very Good")+COUNTIF(Antimicrobial!$H$16,"Very Good")+COUNTIF(Albanian!$H$16,"Very Good")+COUNTIF(Prostate!$H$16,"Very Good")+COUNTIF(Kenya!$H$16,"Very Good")+COUNTIF(Indonesia!$H$16,"Very Good")+COUNTIF(Lontar!$H$16,"Very Good")+COUNTIF(Kurdish!$H$16,"Very Good")</f>
        <v>2</v>
      </c>
      <c r="D77" s="141">
        <f>(C77+C78)/SUM(C77:C81)</f>
        <v>0.66666666666666663</v>
      </c>
    </row>
    <row r="78" spans="1:4" x14ac:dyDescent="0.2">
      <c r="A78" s="139"/>
      <c r="B78" s="4" t="s">
        <v>0</v>
      </c>
      <c r="C78" s="16">
        <f>COUNTIF(Mosquito!$H$16,"Good")+COUNTIF(Body!$J$16,"Good")+COUNTIF(Quechua!$I$16,"Good")+COUNTIF(Melanoma!$H$16,"Good")+COUNTIF(Leaf!$H$16,"Good")+COUNTIF(Antimicrobial!$H$16,"Good")+COUNTIF(Albanian!$H$16,"Good")+COUNTIF(Prostate!$H$16,"Good")+COUNTIF(Kenya!$H$16,"Good")+COUNTIF(Indonesia!$H$16,"Good")+COUNTIF(Lontar!$H$16,"Good")+COUNTIF(Kurdish!$H$16,"Good")</f>
        <v>6</v>
      </c>
      <c r="D78" s="142"/>
    </row>
    <row r="79" spans="1:4" x14ac:dyDescent="0.2">
      <c r="A79" s="139"/>
      <c r="B79" s="5" t="s">
        <v>4</v>
      </c>
      <c r="C79" s="16">
        <f>COUNTIF(Mosquito!$H$16,"Fair")+COUNTIF(Body!$J$16,"Fair")+COUNTIF(Quechua!$I$16,"Fair")+COUNTIF(Melanoma!$H$16,"Fair")+COUNTIF(Leaf!$H$16,"Fair")+COUNTIF(Antimicrobial!$H$16,"Fair")+COUNTIF(Albanian!$H$16,"Fair")+COUNTIF(Prostate!$H$16,"fair")+COUNTIF(Kenya!$H$16,"fair")+COUNTIF(Indonesia!$H$16,"fair")+COUNTIF(Lontar!$H$16,"Fair")+COUNTIF(Kurdish!$H$16,"Fair")</f>
        <v>1</v>
      </c>
      <c r="D79" s="143">
        <f>(C79+C80)/SUM(C77:C81)</f>
        <v>0.33333333333333331</v>
      </c>
    </row>
    <row r="80" spans="1:4" x14ac:dyDescent="0.2">
      <c r="A80" s="139"/>
      <c r="B80" s="6" t="s">
        <v>1</v>
      </c>
      <c r="C80" s="16">
        <f>COUNTIF(Mosquito!$H$16,"Bad")+COUNTIF(Body!$J$16,"Bad")+COUNTIF(Quechua!$I$16,"Bad")+COUNTIF(Melanoma!$H$16,"Bad")+COUNTIF(Leaf!$H$16,"Bad")+COUNTIF(Antimicrobial!$H$16,"Bad")+COUNTIF(Albanian!$H$16,"Bad")+COUNTIF(Prostate!$H$16,"Bad")+COUNTIF(Kenya!$H$16,"Bad")+COUNTIF(Indonesia!$H$16,"Bad")+COUNTIF(Lontar!$H$16,"Bad")+COUNTIF(Kurdish!$H$16,"Bad")</f>
        <v>3</v>
      </c>
      <c r="D80" s="144"/>
    </row>
    <row r="81" spans="1:4" x14ac:dyDescent="0.2">
      <c r="A81" s="140"/>
      <c r="B81" s="7" t="s">
        <v>2</v>
      </c>
      <c r="C81" s="16">
        <f>COUNTIF(Mosquito!$H$16,"Hallucinate")+COUNTIF(Body!$J$16,"Hallucinate")+COUNTIF(Quechua!$I$16,"Hallucinate")+COUNTIF(Melanoma!$H$16,"Hallucinate")+COUNTIF(Leaf!$H$16,"Hallucinate")+COUNTIF(Antimicrobial!$H$16,"Hallucinate")+COUNTIF(Albanian!$H$16,"Hallucinate")+COUNTIF(Prostate!$H$16,"Hallucinate")+COUNTIF(Kenya!$H$16,"Hallucinate")+COUNTIF(Indonesia!$H$16,"Hallucinate")+COUNTIF(Lontar!$H$16,"Hallucinate")+COUNTIF(Kurdish!$H$16,"Hallucinate")</f>
        <v>0</v>
      </c>
      <c r="D81" s="10">
        <f>(C81)/SUM(C77:C81)</f>
        <v>0</v>
      </c>
    </row>
    <row r="82" spans="1:4" x14ac:dyDescent="0.2">
      <c r="A82" s="138" t="s">
        <v>199</v>
      </c>
      <c r="B82" s="3" t="s">
        <v>3</v>
      </c>
      <c r="C82" s="16">
        <f>COUNTIF(Mosquito!$H$18,"Very Good")+COUNTIF(Body!$J$18,"Very Good")+COUNTIF(Quechua!$I$18,"Very Good")+COUNTIF(Melanoma!$H$18,"Very Good")+COUNTIF(Leaf!$H$18,"Very Good")+COUNTIF(Antimicrobial!$H$18,"Very Good")+COUNTIF(Albanian!$H$18,"Very Good")+COUNTIF(Prostate!$H$18,"Very Good")+COUNTIF(Kenya!$H$18,"Very Good")+COUNTIF(Indonesia!$H$18,"Very Good")+COUNTIF(Lontar!$H$18,"Very Good")+COUNTIF(Kurdish!$H$18,"Very Good")</f>
        <v>0</v>
      </c>
      <c r="D82" s="141">
        <f>(C82+C83)/SUM(C82:C86)</f>
        <v>0.41666666666666669</v>
      </c>
    </row>
    <row r="83" spans="1:4" x14ac:dyDescent="0.2">
      <c r="A83" s="139"/>
      <c r="B83" s="4" t="s">
        <v>0</v>
      </c>
      <c r="C83" s="16">
        <f>COUNTIF(Mosquito!$H$18,"Good")+COUNTIF(Body!$J$18,"Good")+COUNTIF(Quechua!$I$18,"Good")+COUNTIF(Melanoma!$H$18,"Good")+COUNTIF(Leaf!$H$18,"Good")+COUNTIF(Antimicrobial!$H$18,"Good")+COUNTIF(Albanian!$H$18,"Good")+COUNTIF(Prostate!$H$18,"Good")+COUNTIF(Kenya!$H$18,"Good")+COUNTIF(Indonesia!$H$18,"Good")+COUNTIF(Lontar!$H$18,"Good")+COUNTIF(Kurdish!$H$18,"Good")</f>
        <v>5</v>
      </c>
      <c r="D83" s="142"/>
    </row>
    <row r="84" spans="1:4" x14ac:dyDescent="0.2">
      <c r="A84" s="139"/>
      <c r="B84" s="5" t="s">
        <v>4</v>
      </c>
      <c r="C84" s="16">
        <f>COUNTIF(Mosquito!$H$18,"Fair")+COUNTIF(Body!$J$18,"Fair")+COUNTIF(Quechua!$I$18,"Fair")+COUNTIF(Melanoma!$H$18,"Fair")+COUNTIF(Leaf!$H$18,"Fair")+COUNTIF(Antimicrobial!$H$18,"Fair")+COUNTIF(Albanian!$H$18,"Fair")+COUNTIF(Prostate!$H$18,"fair")+COUNTIF(Kenya!$H$18,"fair")+COUNTIF(Indonesia!$H$18,"fair")+COUNTIF(Lontar!$H$18,"Fair")+COUNTIF(Kurdish!$H$18,"Fair")</f>
        <v>2</v>
      </c>
      <c r="D84" s="143">
        <f>(C84+C85)/SUM(C82:C86)</f>
        <v>0.58333333333333337</v>
      </c>
    </row>
    <row r="85" spans="1:4" x14ac:dyDescent="0.2">
      <c r="A85" s="139"/>
      <c r="B85" s="6" t="s">
        <v>1</v>
      </c>
      <c r="C85" s="16">
        <f>COUNTIF(Mosquito!$H$18,"Bad")+COUNTIF(Body!$J$18,"Bad")+COUNTIF(Quechua!$I$18,"Bad")+COUNTIF(Melanoma!$H$18,"Bad")+COUNTIF(Leaf!$H$18,"Bad")+COUNTIF(Antimicrobial!$H$18,"Bad")+COUNTIF(Albanian!$H$18,"Bad")+COUNTIF(Prostate!$H$18,"Bad")+COUNTIF(Kenya!$H$18,"Bad")+COUNTIF(Indonesia!$H$18,"Bad")+COUNTIF(Lontar!$H$18,"Bad")+COUNTIF(Kurdish!$H$18,"Bad")</f>
        <v>5</v>
      </c>
      <c r="D85" s="144"/>
    </row>
    <row r="86" spans="1:4" x14ac:dyDescent="0.2">
      <c r="A86" s="140"/>
      <c r="B86" s="7" t="s">
        <v>2</v>
      </c>
      <c r="C86" s="16">
        <f>COUNTIF(Mosquito!$H$18,"Hallucinate")+COUNTIF(Body!$J$18,"Hallucinate")+COUNTIF(Quechua!$I$18,"Hallucinate")+COUNTIF(Melanoma!$H$18,"Hallucinate")+COUNTIF(Leaf!$H$18,"Hallucinate")+COUNTIF(Antimicrobial!$H$18,"Hallucinate")+COUNTIF(Albanian!$H$18,"Hallucinate")+COUNTIF(Prostate!$H$18,"Hallucinate")+COUNTIF(Kenya!$H$18,"Hallucinate")+COUNTIF(Indonesia!$H$18,"Hallucinate")+COUNTIF(Lontar!$H$18,"Hallucinate")+COUNTIF(Kurdish!$H$18,"Hallucinate")</f>
        <v>0</v>
      </c>
      <c r="D86" s="10">
        <f>(C86)/SUM(C82:C86)</f>
        <v>0</v>
      </c>
    </row>
    <row r="87" spans="1:4" x14ac:dyDescent="0.2">
      <c r="A87" s="138" t="s">
        <v>17</v>
      </c>
      <c r="B87" s="3" t="s">
        <v>3</v>
      </c>
      <c r="C87" s="16">
        <f>COUNTIF(Mosquito!$H$19,"Very Good")+COUNTIF(Body!$J$19,"Very Good")+COUNTIF(Quechua!$I$19,"Very Good")+COUNTIF(Melanoma!$H$19,"Very Good")+COUNTIF(Leaf!$H$19,"Very Good")+COUNTIF(Antimicrobial!$H$19,"Very Good")+COUNTIF(Albanian!$H$19,"Very Good")+COUNTIF(Prostate!$H$19,"Very Good")+COUNTIF(Kenya!$H$19,"Very Good")+COUNTIF(Indonesia!$H$19,"Very Good")+COUNTIF(Lontar!$H$19,"Very Good")+COUNTIF(Kurdish!$H$19,"Very Good")</f>
        <v>1</v>
      </c>
      <c r="D87" s="141">
        <f>(C87+C88)/SUM(C87:C91)</f>
        <v>0.41666666666666669</v>
      </c>
    </row>
    <row r="88" spans="1:4" x14ac:dyDescent="0.2">
      <c r="A88" s="139"/>
      <c r="B88" s="4" t="s">
        <v>0</v>
      </c>
      <c r="C88" s="16">
        <f>COUNTIF(Mosquito!$H$19,"Good")+COUNTIF(Body!$J$19,"Good")+COUNTIF(Quechua!$I$19,"Good")+COUNTIF(Melanoma!$H$19,"Good")+COUNTIF(Leaf!$H$19,"Good")+COUNTIF(Antimicrobial!$H$19,"Good")+COUNTIF(Albanian!$H$19,"Good")+COUNTIF(Prostate!$H$19,"Good")+COUNTIF(Kenya!$H$19,"Good")+COUNTIF(Indonesia!$H$19,"Good")+COUNTIF(Lontar!$H$19,"Good")+COUNTIF(Kurdish!$H$19,"Good")</f>
        <v>4</v>
      </c>
      <c r="D88" s="142"/>
    </row>
    <row r="89" spans="1:4" x14ac:dyDescent="0.2">
      <c r="A89" s="139"/>
      <c r="B89" s="5" t="s">
        <v>4</v>
      </c>
      <c r="C89" s="16">
        <f>COUNTIF(Mosquito!$H$19,"Fair")+COUNTIF(Body!$J$19,"Fair")+COUNTIF(Quechua!$I$19,"Fair")+COUNTIF(Melanoma!$H$19,"Fair")+COUNTIF(Leaf!$H$19,"Fair")+COUNTIF(Antimicrobial!$H$19,"Fair")+COUNTIF(Albanian!$H$19,"Fair")+COUNTIF(Prostate!$H$19,"fair")+COUNTIF(Kenya!$H$19,"fair")+COUNTIF(Indonesia!$H$19,"fair")+COUNTIF(Lontar!$H$19,"Fair")+COUNTIF(Kurdish!$H$19,"Fair")</f>
        <v>2</v>
      </c>
      <c r="D89" s="143">
        <f>(C89+C90)/SUM(C87:C91)</f>
        <v>0.5</v>
      </c>
    </row>
    <row r="90" spans="1:4" x14ac:dyDescent="0.2">
      <c r="A90" s="139"/>
      <c r="B90" s="6" t="s">
        <v>1</v>
      </c>
      <c r="C90" s="16">
        <f>COUNTIF(Mosquito!$H$19,"Bad")+COUNTIF(Body!$J$19,"Bad")+COUNTIF(Quechua!$I$19,"Bad")+COUNTIF(Melanoma!$H$19,"Bad")+COUNTIF(Leaf!$H$19,"Bad")+COUNTIF(Antimicrobial!$H$19,"Bad")+COUNTIF(Albanian!$H$19,"Bad")+COUNTIF(Prostate!$H$19,"Bad")+COUNTIF(Kenya!$H$19,"Bad")+COUNTIF(Indonesia!$H$19,"Bad")+COUNTIF(Lontar!$H$19,"Bad")+COUNTIF(Kurdish!$H$19,"Bad")</f>
        <v>4</v>
      </c>
      <c r="D90" s="144"/>
    </row>
    <row r="91" spans="1:4" x14ac:dyDescent="0.2">
      <c r="A91" s="140"/>
      <c r="B91" s="7" t="s">
        <v>2</v>
      </c>
      <c r="C91" s="16">
        <f>COUNTIF(Mosquito!$H$19,"Hallucinate")+COUNTIF(Body!$J$19,"Hallucinate")+COUNTIF(Quechua!$I$19,"Hallucinate")+COUNTIF(Melanoma!$H$19,"Hallucinate")+COUNTIF(Leaf!$H$19,"Hallucinate")+COUNTIF(Antimicrobial!$H$19,"Hallucinate")+COUNTIF(Albanian!$H$19,"Hallucinate")+COUNTIF(Prostate!$H$19,"Hallucinate")+COUNTIF(Kenya!$H$19,"Hallucinate")+COUNTIF(Indonesia!$H$19,"Hallucinate")+COUNTIF(Lontar!$H$19,"Hallucinate")+COUNTIF(Kurdish!$H$19,"Hallucinate")</f>
        <v>1</v>
      </c>
      <c r="D91" s="10">
        <f>(C91)/SUM(C87:C91)</f>
        <v>8.3333333333333329E-2</v>
      </c>
    </row>
    <row r="92" spans="1:4" ht="21" customHeight="1" x14ac:dyDescent="0.25">
      <c r="A92" s="13" t="s">
        <v>24</v>
      </c>
      <c r="B92" s="137" t="s">
        <v>15</v>
      </c>
      <c r="C92" s="137"/>
      <c r="D92" s="137"/>
    </row>
    <row r="93" spans="1:4" x14ac:dyDescent="0.2">
      <c r="A93" s="11" t="s">
        <v>5</v>
      </c>
      <c r="B93" s="11" t="s">
        <v>5</v>
      </c>
      <c r="C93" s="8" t="s">
        <v>192</v>
      </c>
      <c r="D93" s="8" t="s">
        <v>193</v>
      </c>
    </row>
    <row r="94" spans="1:4" x14ac:dyDescent="0.2">
      <c r="A94" s="138" t="s">
        <v>197</v>
      </c>
      <c r="B94" s="3" t="s">
        <v>3</v>
      </c>
      <c r="C94" s="16">
        <f>COUNTIF(Mosquito!$H$21,"Very Good")+COUNTIF(Body!$J$21,"Very Good")+COUNTIF(Quechua!$I$21,"Very Good")+COUNTIF(Melanoma!$H$21,"Very Good")+COUNTIF(Leaf!$H$21,"Very Good")+COUNTIF(Antimicrobial!$H$21,"Very Good")+COUNTIF(Albanian!$H$21,"Very Good")+COUNTIF(Prostate!$H$21,"Very Good")+COUNTIF(Kenya!$H$21,"Very Good")+COUNTIF(Indonesia!$H$21,"Very Good")+COUNTIF(Lontar!$H$21,"Very Good")+COUNTIF(Kurdish!$H$21,"Very Good")</f>
        <v>3</v>
      </c>
      <c r="D94" s="141">
        <f>(C94+C95)/SUM(C94:C98)</f>
        <v>0.45454545454545453</v>
      </c>
    </row>
    <row r="95" spans="1:4" x14ac:dyDescent="0.2">
      <c r="A95" s="139"/>
      <c r="B95" s="4" t="s">
        <v>0</v>
      </c>
      <c r="C95" s="16">
        <f>COUNTIF(Mosquito!$H$21,"Good")+COUNTIF(Body!$J$21,"Good")+COUNTIF(Quechua!$I$21,"Good")+COUNTIF(Melanoma!$H$21,"Good")+COUNTIF(Leaf!$H$21,"Good")+COUNTIF(Antimicrobial!$H$21,"Good")+COUNTIF(Albanian!$H$21,"Good")+COUNTIF(Prostate!$H$21,"Good")+COUNTIF(Kenya!$H$21,"Good")+COUNTIF(Indonesia!$H$21,"Good")+COUNTIF(Lontar!$H$21,"Good")+COUNTIF(Kurdish!$H$21,"Good")</f>
        <v>2</v>
      </c>
      <c r="D95" s="142"/>
    </row>
    <row r="96" spans="1:4" x14ac:dyDescent="0.2">
      <c r="A96" s="139"/>
      <c r="B96" s="5" t="s">
        <v>4</v>
      </c>
      <c r="C96" s="16">
        <f>COUNTIF(Mosquito!$H$21,"Fair")+COUNTIF(Body!$J$21,"Fair")+COUNTIF(Quechua!$I$21,"Fair")+COUNTIF(Melanoma!$H$21,"Fair")+COUNTIF(Leaf!$H$21,"Fair")+COUNTIF(Antimicrobial!$H$21,"Fair")+COUNTIF(Albanian!$H$21,"Fair")+COUNTIF(Prostate!$H$21,"fair")+COUNTIF(Kenya!$H$21,"fair")+COUNTIF(Indonesia!$H$21,"fair")+COUNTIF(Lontar!$H$21,"Fair")+COUNTIF(Kurdish!$H$21,"Fair")</f>
        <v>2</v>
      </c>
      <c r="D96" s="143">
        <f>(C96+C97)/SUM(C94:C98)</f>
        <v>0.54545454545454541</v>
      </c>
    </row>
    <row r="97" spans="1:4" x14ac:dyDescent="0.2">
      <c r="A97" s="139"/>
      <c r="B97" s="6" t="s">
        <v>1</v>
      </c>
      <c r="C97" s="16">
        <f>COUNTIF(Mosquito!$H$21,"Bad")+COUNTIF(Body!$J$21,"Bad")+COUNTIF(Quechua!$I$21,"Bad")+COUNTIF(Melanoma!$H$21,"Bad")+COUNTIF(Leaf!$H$21,"Bad")+COUNTIF(Antimicrobial!$H$21,"Bad")+COUNTIF(Albanian!$H$21,"Bad")+COUNTIF(Prostate!$H$21,"Bad")+COUNTIF(Kenya!$H$21,"Bad")+COUNTIF(Indonesia!$H$21,"Bad")+COUNTIF(Lontar!$H$21,"Bad")+COUNTIF(Kurdish!$H$21,"Bad")</f>
        <v>4</v>
      </c>
      <c r="D97" s="144"/>
    </row>
    <row r="98" spans="1:4" x14ac:dyDescent="0.2">
      <c r="A98" s="140"/>
      <c r="B98" s="7" t="s">
        <v>2</v>
      </c>
      <c r="C98" s="16">
        <f>COUNTIF(Mosquito!$H$21,"Hallucinate")+COUNTIF(Body!$J$21,"Hallucinate")+COUNTIF(Quechua!$I$21,"Hallucinate")+COUNTIF(Melanoma!$H$21,"Hallucinate")+COUNTIF(Leaf!$H$21,"Hallucinate")+COUNTIF(Antimicrobial!$H$21,"Hallucinate")+COUNTIF(Albanian!$H$21,"Hallucinate")+COUNTIF(Prostate!$H$21,"Hallucinate")+COUNTIF(Kenya!$H$21,"Hallucinate")+COUNTIF(Indonesia!$H$21,"Hallucinate")+COUNTIF(Lontar!$H$21,"Hallucinate")+COUNTIF(Kurdish!$H$21,"Hallucinate")</f>
        <v>0</v>
      </c>
      <c r="D98" s="10">
        <f>(C98)/SUM(C94:C98)</f>
        <v>0</v>
      </c>
    </row>
    <row r="99" spans="1:4" x14ac:dyDescent="0.2">
      <c r="A99" s="138" t="s">
        <v>200</v>
      </c>
      <c r="B99" s="3" t="s">
        <v>3</v>
      </c>
      <c r="C99" s="16">
        <f>COUNTIF(Mosquito!$H$23,"Very Good")+COUNTIF(Body!$J$24,"Very Good")+COUNTIF(Quechua!$I$23,"Very Good")+COUNTIF(Melanoma!$H$23,"Very Good")+COUNTIF(Leaf!$H$23,"Very Good")+COUNTIF(Antimicrobial!$H$23,"Very Good")+COUNTIF(Albanian!$H$23,"Very Good")+COUNTIF(Prostate!$H$23,"Very Good")+COUNTIF(Kenya!$H$23,"Very Good")+COUNTIF(Indonesia!$H$23,"Very Good")+COUNTIF(Lontar!$H$23,"Very Good")+COUNTIF(Kurdish!$H$23,"Very Good")</f>
        <v>1</v>
      </c>
      <c r="D99" s="141">
        <f>(C99+C100)/SUM(C99:C103)</f>
        <v>0.90909090909090906</v>
      </c>
    </row>
    <row r="100" spans="1:4" x14ac:dyDescent="0.2">
      <c r="A100" s="139"/>
      <c r="B100" s="4" t="s">
        <v>0</v>
      </c>
      <c r="C100" s="16">
        <f>COUNTIF(Mosquito!$H$23,"Good")+COUNTIF(Body!$J$24,"Good")+COUNTIF(Quechua!$I$23,"Good")+COUNTIF(Melanoma!$H$23,"Good")+COUNTIF(Leaf!$H$23,"Good")+COUNTIF(Antimicrobial!$H$23,"Good")+COUNTIF(Albanian!$H$23,"Good")+COUNTIF(Prostate!$H$23,"Good")+COUNTIF(Kenya!$H$23,"Good")+COUNTIF(Indonesia!$H$23,"Good")+COUNTIF(Lontar!$H$23,"Good")+COUNTIF(Kurdish!$H$23,"Good")</f>
        <v>9</v>
      </c>
      <c r="D100" s="142"/>
    </row>
    <row r="101" spans="1:4" x14ac:dyDescent="0.2">
      <c r="A101" s="139"/>
      <c r="B101" s="5" t="s">
        <v>4</v>
      </c>
      <c r="C101" s="16">
        <f>COUNTIF(Mosquito!$H$23,"Fair")+COUNTIF(Body!$J$24,"Fair")+COUNTIF(Quechua!$I$23,"Fair")+COUNTIF(Melanoma!$H$23,"Fair")+COUNTIF(Leaf!$H$23,"Fair")+COUNTIF(Antimicrobial!$H$23,"Fair")+COUNTIF(Albanian!$H$23,"Fair")+COUNTIF(Prostate!$H$23,"fair")+COUNTIF(Kenya!$H$23,"fair")+COUNTIF(Indonesia!$H$23,"fair")+COUNTIF(Lontar!$H$23,"Fair")+COUNTIF(Kurdish!$H$23,"Fair")</f>
        <v>0</v>
      </c>
      <c r="D101" s="143">
        <f>(C101+C102)/SUM(C99:C103)</f>
        <v>9.0909090909090912E-2</v>
      </c>
    </row>
    <row r="102" spans="1:4" x14ac:dyDescent="0.2">
      <c r="A102" s="139"/>
      <c r="B102" s="6" t="s">
        <v>1</v>
      </c>
      <c r="C102" s="16">
        <f>COUNTIF(Mosquito!$H$23,"Bad")+COUNTIF(Body!$J$24,"Bad")+COUNTIF(Quechua!$I$23,"Bad")+COUNTIF(Melanoma!$H$23,"Bad")+COUNTIF(Leaf!$H$23,"Bad")+COUNTIF(Antimicrobial!$H$23,"Bad")+COUNTIF(Albanian!$H$23,"Bad")+COUNTIF(Prostate!$H$23,"Bad")+COUNTIF(Kenya!$H$23,"Bad")+COUNTIF(Indonesia!$H$23,"Bad")+COUNTIF(Lontar!$H$23,"Bad")+COUNTIF(Kurdish!$H$23,"Bad")</f>
        <v>1</v>
      </c>
      <c r="D102" s="144"/>
    </row>
    <row r="103" spans="1:4" x14ac:dyDescent="0.2">
      <c r="A103" s="140"/>
      <c r="B103" s="7" t="s">
        <v>2</v>
      </c>
      <c r="C103" s="16">
        <f>COUNTIF(Mosquito!$H$23,"Hallucinate")+COUNTIF(Body!$J$24,"Hallucinate")+COUNTIF(Quechua!$I$23,"Hallucinate")+COUNTIF(Melanoma!$H$23,"Hallucinate")+COUNTIF(Leaf!$H$23,"Hallucinate")+COUNTIF(Antimicrobial!$H$23,"Hallucinate")+COUNTIF(Albanian!$H$23,"Hallucinate")+COUNTIF(Prostate!$H$23,"Hallucinate")+COUNTIF(Kenya!$H$23,"Hallucinate")+COUNTIF(Indonesia!$H$23,"Hallucinate")+COUNTIF(Lontar!$H$23,"Hallucinate")+COUNTIF(Kurdish!$H$23,"Hallucinate")</f>
        <v>0</v>
      </c>
      <c r="D103" s="10">
        <f>(C103)/SUM(C99:C103)</f>
        <v>0</v>
      </c>
    </row>
    <row r="104" spans="1:4" x14ac:dyDescent="0.2">
      <c r="A104" s="138" t="s">
        <v>201</v>
      </c>
      <c r="B104" s="3" t="s">
        <v>3</v>
      </c>
      <c r="C104" s="16">
        <f>COUNTIF(Mosquito!$H$24,"Very Good")+COUNTIF(Body!$J$25,"Very Good")+COUNTIF(Quechua!$I$24,"Very Good")+COUNTIF(Melanoma!$H$24,"Very Good")+COUNTIF(Leaf!$H$24,"Very Good")+COUNTIF(Antimicrobial!$H$24,"Very Good")+COUNTIF(Albanian!$H$24,"Very Good")+COUNTIF(Prostate!$H$24,"Very Good")+COUNTIF(Kenya!$H$24,"Very Good")+COUNTIF(Indonesia!$H$24,"Very Good")+COUNTIF(Lontar!$H$24,"Very Good")+COUNTIF(Kurdish!$H$24,"Very Good")</f>
        <v>2</v>
      </c>
      <c r="D104" s="141">
        <f>(C104+C105)/SUM(C104:C108)</f>
        <v>0.75</v>
      </c>
    </row>
    <row r="105" spans="1:4" x14ac:dyDescent="0.2">
      <c r="A105" s="139"/>
      <c r="B105" s="4" t="s">
        <v>0</v>
      </c>
      <c r="C105" s="16">
        <f>COUNTIF(Mosquito!$H$24,"Good")+COUNTIF(Body!$J$25,"Good")+COUNTIF(Quechua!$I$24,"Good")+COUNTIF(Melanoma!$H$24,"Good")+COUNTIF(Leaf!$H$24,"Good")+COUNTIF(Antimicrobial!$H$24,"Good")+COUNTIF(Albanian!$H$24,"Good")+COUNTIF(Prostate!$H$24,"Good")+COUNTIF(Kenya!$H$24,"Good")+COUNTIF(Indonesia!$H$24,"Good")+COUNTIF(Lontar!$H$24,"Good")+COUNTIF(Kurdish!$H$24,"Good")</f>
        <v>7</v>
      </c>
      <c r="D105" s="142"/>
    </row>
    <row r="106" spans="1:4" x14ac:dyDescent="0.2">
      <c r="A106" s="139"/>
      <c r="B106" s="5" t="s">
        <v>4</v>
      </c>
      <c r="C106" s="16">
        <f>COUNTIF(Mosquito!$H$24,"Fair")+COUNTIF(Body!$J$25,"Fair")+COUNTIF(Quechua!$I$24,"Fair")+COUNTIF(Melanoma!$H$24,"Fair")+COUNTIF(Leaf!$H$24,"Fair")+COUNTIF(Antimicrobial!$H$24,"Fair")+COUNTIF(Albanian!$H$24,"Fair")+COUNTIF(Prostate!$H$24,"fair")+COUNTIF(Kenya!$H$24,"fair")+COUNTIF(Indonesia!$H$24,"fair")+COUNTIF(Lontar!$H$24,"Fair")+COUNTIF(Kurdish!$H$24,"Fair")</f>
        <v>2</v>
      </c>
      <c r="D106" s="143">
        <f>(C106+C107)/SUM(C104:C108)</f>
        <v>0.25</v>
      </c>
    </row>
    <row r="107" spans="1:4" x14ac:dyDescent="0.2">
      <c r="A107" s="139"/>
      <c r="B107" s="6" t="s">
        <v>1</v>
      </c>
      <c r="C107" s="16">
        <f>COUNTIF(Mosquito!$H$24,"Bad")+COUNTIF(Body!$J$25,"Bad")+COUNTIF(Quechua!$I$24,"Bad")+COUNTIF(Melanoma!$H$24,"Bad")+COUNTIF(Leaf!$H$24,"Bad")+COUNTIF(Antimicrobial!$H$24,"Bad")+COUNTIF(Albanian!$H$24,"Bad")+COUNTIF(Prostate!$H$24,"Bad")+COUNTIF(Kenya!$H$24,"Bad")+COUNTIF(Indonesia!$H$24,"Bad")+COUNTIF(Lontar!$H$24,"Bad")+COUNTIF(Kurdish!$H$24,"Bad")</f>
        <v>1</v>
      </c>
      <c r="D107" s="144"/>
    </row>
    <row r="108" spans="1:4" x14ac:dyDescent="0.2">
      <c r="A108" s="140"/>
      <c r="B108" s="7" t="s">
        <v>2</v>
      </c>
      <c r="C108" s="16">
        <f>COUNTIF(Mosquito!$H$24,"Hallucinate")+COUNTIF(Body!$J$25,"Hallucinate")+COUNTIF(Quechua!$I$24,"Hallucinate")+COUNTIF(Melanoma!$H$24,"Hallucinate")+COUNTIF(Leaf!$H$24,"Hallucinate")+COUNTIF(Antimicrobial!$H$24,"Hallucinate")+COUNTIF(Albanian!$H$24,"Hallucinate")+COUNTIF(Prostate!$H$24,"Hallucinate")+COUNTIF(Kenya!$H$24,"Hallucinate")+COUNTIF(Indonesia!$H$24,"Hallucinate")+COUNTIF(Lontar!$H$24,"Hallucinate")+COUNTIF(Kurdish!$H$24,"Hallucinate")</f>
        <v>0</v>
      </c>
      <c r="D108" s="10">
        <f>(C108)/SUM(C104:C108)</f>
        <v>0</v>
      </c>
    </row>
    <row r="109" spans="1:4" x14ac:dyDescent="0.2">
      <c r="A109" s="138" t="s">
        <v>202</v>
      </c>
      <c r="B109" s="3" t="s">
        <v>3</v>
      </c>
      <c r="C109" s="16">
        <f>COUNTIF(Mosquito!$H$25,"Very Good")+COUNTIF(Body!$J$26,"Very Good")+COUNTIF(Quechua!$I$25,"Very Good")+COUNTIF(Melanoma!$H$25,"Very Good")+COUNTIF(Leaf!$H$25,"Very Good")+COUNTIF(Antimicrobial!$H$25,"Very Good")+COUNTIF(Albanian!$H$25,"Very Good")+COUNTIF(Prostate!$H$25,"Very Good")+COUNTIF(Kenya!$H$25,"Very Good")+COUNTIF(Indonesia!$H$25,"Very Good")+COUNTIF(Lontar!$H$25,"Very Good")+COUNTIF(Kurdish!$H$25,"Very Good")</f>
        <v>1</v>
      </c>
      <c r="D109" s="141">
        <f>(C109+C110)/SUM(C109:C113)</f>
        <v>0.33333333333333331</v>
      </c>
    </row>
    <row r="110" spans="1:4" x14ac:dyDescent="0.2">
      <c r="A110" s="139"/>
      <c r="B110" s="4" t="s">
        <v>0</v>
      </c>
      <c r="C110" s="16">
        <f>COUNTIF(Mosquito!$H$25,"Good")+COUNTIF(Body!$J$26,"Good")+COUNTIF(Quechua!$I$25,"Good")+COUNTIF(Melanoma!$H$25,"Good")+COUNTIF(Leaf!$H$25,"Good")+COUNTIF(Antimicrobial!$H$25,"Good")+COUNTIF(Albanian!$H$25,"Good")+COUNTIF(Prostate!$H$25,"Good")+COUNTIF(Kenya!$H$25,"Good")+COUNTIF(Indonesia!$H$25,"Good")+COUNTIF(Lontar!$H$25,"Good")+COUNTIF(Kurdish!$H$25,"Good")</f>
        <v>3</v>
      </c>
      <c r="D110" s="142"/>
    </row>
    <row r="111" spans="1:4" x14ac:dyDescent="0.2">
      <c r="A111" s="139"/>
      <c r="B111" s="5" t="s">
        <v>4</v>
      </c>
      <c r="C111" s="16">
        <f>COUNTIF(Mosquito!$H$25,"Fair")+COUNTIF(Body!$J$26,"Fair")+COUNTIF(Quechua!$I$25,"Fair")+COUNTIF(Melanoma!$H$25,"Fair")+COUNTIF(Leaf!$H$25,"Fair")+COUNTIF(Antimicrobial!$H$25,"Fair")+COUNTIF(Albanian!$H$25,"Fair")+COUNTIF(Prostate!$H$25,"fair")+COUNTIF(Kenya!$H$25,"fair")+COUNTIF(Indonesia!$H$25,"fair")+COUNTIF(Lontar!$H$25,"Fair")+COUNTIF(Kurdish!$H$25,"Fair")</f>
        <v>0</v>
      </c>
      <c r="D111" s="143">
        <f>(C111+C112)/SUM(C109:C113)</f>
        <v>0.58333333333333337</v>
      </c>
    </row>
    <row r="112" spans="1:4" x14ac:dyDescent="0.2">
      <c r="A112" s="139"/>
      <c r="B112" s="6" t="s">
        <v>1</v>
      </c>
      <c r="C112" s="16">
        <f>COUNTIF(Mosquito!$H$25,"Bad")+COUNTIF(Body!$J$26,"Bad")+COUNTIF(Quechua!$I$25,"Bad")+COUNTIF(Melanoma!$H$25,"Bad")+COUNTIF(Leaf!$H$25,"Bad")+COUNTIF(Antimicrobial!$H$25,"Bad")+COUNTIF(Albanian!$H$25,"Bad")+COUNTIF(Prostate!$H$25,"Bad")+COUNTIF(Kenya!$H$25,"Bad")+COUNTIF(Indonesia!$H$25,"Bad")+COUNTIF(Lontar!$H$25,"Bad")+COUNTIF(Kurdish!$H$25,"Bad")</f>
        <v>7</v>
      </c>
      <c r="D112" s="144"/>
    </row>
    <row r="113" spans="1:4" x14ac:dyDescent="0.2">
      <c r="A113" s="140"/>
      <c r="B113" s="7" t="s">
        <v>2</v>
      </c>
      <c r="C113" s="16">
        <f>COUNTIF(Mosquito!$H$25,"Hallucinate")+COUNTIF(Body!$J$26,"Hallucinate")+COUNTIF(Quechua!$I$25,"Hallucinate")+COUNTIF(Melanoma!$H$25,"Hallucinate")+COUNTIF(Leaf!$H$25,"Hallucinate")+COUNTIF(Antimicrobial!$H$25,"Hallucinate")+COUNTIF(Albanian!$H$25,"Hallucinate")+COUNTIF(Prostate!$H$25,"Hallucinate")+COUNTIF(Kenya!$H$25,"Hallucinate")+COUNTIF(Indonesia!$H$25,"Hallucinate")+COUNTIF(Lontar!$H$25,"Hallucinate")+COUNTIF(Kurdish!$H$25,"Hallucinate")</f>
        <v>1</v>
      </c>
      <c r="D113" s="10">
        <f>(C113)/SUM(C109:C113)</f>
        <v>8.3333333333333329E-2</v>
      </c>
    </row>
    <row r="114" spans="1:4" ht="21" customHeight="1" x14ac:dyDescent="0.25">
      <c r="A114" s="13" t="s">
        <v>24</v>
      </c>
      <c r="B114" s="145" t="s">
        <v>206</v>
      </c>
      <c r="C114" s="146"/>
      <c r="D114" s="147"/>
    </row>
    <row r="115" spans="1:4" x14ac:dyDescent="0.2">
      <c r="A115" s="11" t="s">
        <v>5</v>
      </c>
      <c r="B115" s="11" t="s">
        <v>5</v>
      </c>
      <c r="C115" s="8" t="s">
        <v>192</v>
      </c>
      <c r="D115" s="8" t="s">
        <v>193</v>
      </c>
    </row>
    <row r="116" spans="1:4" x14ac:dyDescent="0.2">
      <c r="A116" s="138" t="s">
        <v>203</v>
      </c>
      <c r="B116" s="3" t="s">
        <v>3</v>
      </c>
      <c r="C116" s="16">
        <f>COUNTIF(Mosquito!$H$26,"Very Good")+COUNTIF(Body!$J$27,"Very Good")+COUNTIF(Quechua!$I$26,"Very Good")+COUNTIF(Melanoma!$H$26,"Very Good")+COUNTIF(Leaf!$H$26,"Very Good")+COUNTIF(Antimicrobial!$H$26,"Very Good")+COUNTIF(Albanian!$H$26,"Very Good")+COUNTIF(Prostate!$H$26,"Very Good")+COUNTIF(Kenya!$H$26,"Very Good")+COUNTIF(Indonesia!$H$26,"Very Good")+COUNTIF(Lontar!$H$26,"Very Good")+COUNTIF(Kurdish!$H$26,"Very Good")</f>
        <v>1</v>
      </c>
      <c r="D116" s="141">
        <f>(C116+C117)/SUM(C116:C120)</f>
        <v>0.75</v>
      </c>
    </row>
    <row r="117" spans="1:4" x14ac:dyDescent="0.2">
      <c r="A117" s="139"/>
      <c r="B117" s="4" t="s">
        <v>0</v>
      </c>
      <c r="C117" s="16">
        <f>COUNTIF(Mosquito!$H$26,"Good")+COUNTIF(Body!$J$27,"Good")+COUNTIF(Quechua!$I$26,"Good")+COUNTIF(Melanoma!$H$26,"Good")+COUNTIF(Leaf!$H$26,"Good")+COUNTIF(Antimicrobial!$H$26,"Good")+COUNTIF(Albanian!$H$26,"Good")+COUNTIF(Prostate!$H$26,"Good")+COUNTIF(Kenya!$H$26,"Good")+COUNTIF(Indonesia!$H$26,"Good")+COUNTIF(Lontar!$H$26,"Good")+COUNTIF(Kurdish!$H$26,"Good")</f>
        <v>8</v>
      </c>
      <c r="D117" s="142"/>
    </row>
    <row r="118" spans="1:4" x14ac:dyDescent="0.2">
      <c r="A118" s="139"/>
      <c r="B118" s="5" t="s">
        <v>4</v>
      </c>
      <c r="C118" s="16">
        <f>COUNTIF(Mosquito!$H$26,"Fair")+COUNTIF(Body!$J$27,"Fair")+COUNTIF(Quechua!$I$26,"Fair")+COUNTIF(Melanoma!$H$26,"Fair")+COUNTIF(Leaf!$H$26,"Fair")+COUNTIF(Antimicrobial!$H$26,"Fair")+COUNTIF(Albanian!$H$26,"Fair")+COUNTIF(Prostate!$H$26,"fair")+COUNTIF(Kenya!$H$26,"fair")+COUNTIF(Indonesia!$H$26,"fair")+COUNTIF(Lontar!$H$26,"Fair")+COUNTIF(Kurdish!$H$26,"Fair")</f>
        <v>0</v>
      </c>
      <c r="D118" s="143">
        <f>(C118+C119)/SUM(C116:C120)</f>
        <v>0.25</v>
      </c>
    </row>
    <row r="119" spans="1:4" x14ac:dyDescent="0.2">
      <c r="A119" s="139"/>
      <c r="B119" s="6" t="s">
        <v>1</v>
      </c>
      <c r="C119" s="16">
        <f>COUNTIF(Mosquito!$H$26,"Bad")+COUNTIF(Body!$J$27,"Bad")+COUNTIF(Quechua!$I$26,"Bad")+COUNTIF(Melanoma!$H$26,"Bad")+COUNTIF(Leaf!$H$26,"Bad")+COUNTIF(Antimicrobial!$H$26,"Bad")+COUNTIF(Albanian!$H$26,"Bad")+COUNTIF(Prostate!$H$26,"Bad")+COUNTIF(Kenya!$H$26,"Bad")+COUNTIF(Indonesia!$H$26,"Bad")+COUNTIF(Lontar!$H$26,"Bad")+COUNTIF(Kurdish!$H$26,"Bad")</f>
        <v>3</v>
      </c>
      <c r="D119" s="144"/>
    </row>
    <row r="120" spans="1:4" x14ac:dyDescent="0.2">
      <c r="A120" s="140"/>
      <c r="B120" s="7" t="s">
        <v>2</v>
      </c>
      <c r="C120" s="16">
        <f>COUNTIF(Mosquito!$H$26,"Hallucinate")+COUNTIF(Body!$J$27,"Hallucinate")+COUNTIF(Quechua!$I$26,"Hallucinate")+COUNTIF(Melanoma!$H$26,"Hallucinate")+COUNTIF(Leaf!$H$26,"Hallucinate")+COUNTIF(Antimicrobial!$H$26,"Hallucinate")+COUNTIF(Albanian!$H$26,"Hallucinate")+COUNTIF(Prostate!$H$26,"Hallucinate")+COUNTIF(Kenya!$H$26,"Hallucinate")+COUNTIF(Indonesia!$H$26,"Hallucinate")+COUNTIF(Lontar!$H$26,"Hallucinate")+COUNTIF(Kurdish!$H$26,"Hallucinate")</f>
        <v>0</v>
      </c>
      <c r="D120" s="10">
        <f>(C120)/SUM(C116:C120)</f>
        <v>0</v>
      </c>
    </row>
    <row r="121" spans="1:4" ht="16" customHeight="1" x14ac:dyDescent="0.2">
      <c r="A121" s="138" t="s">
        <v>204</v>
      </c>
      <c r="B121" s="3" t="s">
        <v>3</v>
      </c>
      <c r="C121" s="16">
        <f>COUNTIF(Mosquito!$H$27,"Very Good")+COUNTIF(Body!$J$28,"Very Good")+COUNTIF(Quechua!$I$27,"Very Good")+COUNTIF(Melanoma!$H$27,"Very Good")+COUNTIF(Leaf!$H$27,"Very Good")+COUNTIF(Antimicrobial!$H$27,"Very Good")+COUNTIF(Albanian!$H$27,"Very Good")+COUNTIF(Prostate!$H$27,"Very Good")+COUNTIF(Kenya!$H$27,"Very Good")+COUNTIF(Indonesia!$H$27,"Very Good")+COUNTIF(Lontar!$H$27,"Very Good")+COUNTIF(Kurdish!$H$27,"Very Good")</f>
        <v>1</v>
      </c>
      <c r="D121" s="141">
        <f>(C121+C122)/SUM(C121:C125)</f>
        <v>0.72727272727272729</v>
      </c>
    </row>
    <row r="122" spans="1:4" x14ac:dyDescent="0.2">
      <c r="A122" s="139"/>
      <c r="B122" s="4" t="s">
        <v>0</v>
      </c>
      <c r="C122" s="16">
        <f>COUNTIF(Mosquito!$H$27,"Good")+COUNTIF(Body!$J$28,"Good")+COUNTIF(Quechua!$I$27,"Good")+COUNTIF(Melanoma!$H$27,"Good")+COUNTIF(Leaf!$H$27,"Good")+COUNTIF(Antimicrobial!$H$27,"Good")+COUNTIF(Albanian!$H$27,"Good")+COUNTIF(Prostate!$H$27,"Good")+COUNTIF(Kenya!$H$27,"Good")+COUNTIF(Indonesia!$H$27,"Good")+COUNTIF(Lontar!$H$27,"Good")+COUNTIF(Kurdish!$H$27,"Good")</f>
        <v>7</v>
      </c>
      <c r="D122" s="142"/>
    </row>
    <row r="123" spans="1:4" x14ac:dyDescent="0.2">
      <c r="A123" s="139"/>
      <c r="B123" s="5" t="s">
        <v>4</v>
      </c>
      <c r="C123" s="16">
        <f>COUNTIF(Mosquito!$H$27,"Fair")+COUNTIF(Body!$J$28,"Fair")+COUNTIF(Quechua!$I$27,"Fair")+COUNTIF(Melanoma!$H$27,"Fair")+COUNTIF(Leaf!$H$27,"Fair")+COUNTIF(Antimicrobial!$H$27,"Fair")+COUNTIF(Albanian!$H$27,"Fair")+COUNTIF(Prostate!$H$27,"fair")+COUNTIF(Kenya!$H$27,"fair")+COUNTIF(Indonesia!$H$27,"fair")+COUNTIF(Lontar!$H$27,"Fair")+COUNTIF(Kurdish!$H$27,"Fair")</f>
        <v>2</v>
      </c>
      <c r="D123" s="143">
        <f>(C123+C124)/SUM(C121:C125)</f>
        <v>0.27272727272727271</v>
      </c>
    </row>
    <row r="124" spans="1:4" x14ac:dyDescent="0.2">
      <c r="A124" s="139"/>
      <c r="B124" s="6" t="s">
        <v>1</v>
      </c>
      <c r="C124" s="16">
        <f>COUNTIF(Mosquito!$H$27,"Bad")+COUNTIF(Body!$J$28,"Bad")+COUNTIF(Quechua!$I$27,"Bad")+COUNTIF(Melanoma!$H$27,"Bad")+COUNTIF(Leaf!$H$27,"Bad")+COUNTIF(Antimicrobial!$H$27,"Bad")+COUNTIF(Albanian!$H$27,"Bad")+COUNTIF(Prostate!$H$27,"Bad")+COUNTIF(Kenya!$H$27,"Bad")+COUNTIF(Indonesia!$H$27,"Bad")+COUNTIF(Lontar!$H$27,"Bad")+COUNTIF(Kurdish!$H$27,"Bad")</f>
        <v>1</v>
      </c>
      <c r="D124" s="144"/>
    </row>
    <row r="125" spans="1:4" x14ac:dyDescent="0.2">
      <c r="A125" s="140"/>
      <c r="B125" s="7" t="s">
        <v>2</v>
      </c>
      <c r="C125" s="16">
        <f>COUNTIF(Mosquito!$H$27,"Hallucinate")+COUNTIF(Body!$J$28,"Hallucinate")+COUNTIF(Quechua!$I$27,"Hallucinate")+COUNTIF(Melanoma!$H$27,"Hallucinate")+COUNTIF(Leaf!$H$27,"Hallucinate")+COUNTIF(Antimicrobial!$H$27,"Hallucinate")+COUNTIF(Albanian!$H$27,"Hallucinate")+COUNTIF(Prostate!$H$27,"Hallucinate")+COUNTIF(Kenya!$H$27,"Hallucinate")+COUNTIF(Indonesia!$H$27,"Hallucinate")+COUNTIF(Lontar!$H$27,"Hallucinate")+COUNTIF(Kurdish!$H$27,"Hallucinate")</f>
        <v>0</v>
      </c>
      <c r="D125" s="10">
        <f>(C125)/SUM(C121:C125)</f>
        <v>0</v>
      </c>
    </row>
    <row r="126" spans="1:4" x14ac:dyDescent="0.2">
      <c r="A126" s="138" t="s">
        <v>205</v>
      </c>
      <c r="B126" s="3" t="s">
        <v>3</v>
      </c>
      <c r="C126" s="16">
        <f>COUNTIF(Mosquito!$H$28,"Very Good")+COUNTIF(Body!$J$29,"Very Good")+COUNTIF(Quechua!$I$28,"Very Good")+COUNTIF(Melanoma!$H$28,"Very Good")+COUNTIF(Leaf!$H$28,"Very Good")+COUNTIF(Antimicrobial!$H$28,"Very Good")+COUNTIF(Albanian!$H$28,"Very Good")+COUNTIF(Prostate!$H$28,"Very Good")+COUNTIF(Kenya!$H$28,"Very Good")+COUNTIF(Indonesia!$H$28,"Very Good")+COUNTIF(Lontar!$H$28,"Very Good")+COUNTIF(Kurdish!$H$28,"Very Good")</f>
        <v>3</v>
      </c>
      <c r="D126" s="141">
        <f>(C126+C127)/SUM(C126:C130)</f>
        <v>0.83333333333333337</v>
      </c>
    </row>
    <row r="127" spans="1:4" x14ac:dyDescent="0.2">
      <c r="A127" s="139"/>
      <c r="B127" s="4" t="s">
        <v>0</v>
      </c>
      <c r="C127" s="16">
        <f>COUNTIF(Mosquito!$H$28,"Good")+COUNTIF(Body!$J$29,"Good")+COUNTIF(Quechua!$I$28,"Good")+COUNTIF(Melanoma!$H$28,"Good")+COUNTIF(Leaf!$H$28,"Good")+COUNTIF(Antimicrobial!$H$28,"Good")+COUNTIF(Albanian!$H$28,"Good")+COUNTIF(Prostate!$H$28,"Good")+COUNTIF(Kenya!$H$28,"Good")+COUNTIF(Indonesia!$H$28,"Good")+COUNTIF(Lontar!$H$28,"Good")+COUNTIF(Kurdish!$H$28,"Good")</f>
        <v>7</v>
      </c>
      <c r="D127" s="142"/>
    </row>
    <row r="128" spans="1:4" x14ac:dyDescent="0.2">
      <c r="A128" s="139"/>
      <c r="B128" s="5" t="s">
        <v>4</v>
      </c>
      <c r="C128" s="16">
        <f>COUNTIF(Mosquito!$H$28,"Fair")+COUNTIF(Body!$J$29,"Fair")+COUNTIF(Quechua!$I$28,"Fair")+COUNTIF(Melanoma!$H$28,"Fair")+COUNTIF(Leaf!$H$28,"Fair")+COUNTIF(Antimicrobial!$H$28,"Fair")+COUNTIF(Albanian!$H$28,"Fair")+COUNTIF(Prostate!$H$28,"fair")+COUNTIF(Kenya!$H$28,"fair")+COUNTIF(Indonesia!$H$28,"fair")+COUNTIF(Lontar!$H$28,"Fair")+COUNTIF(Kurdish!$H$28,"Fair")</f>
        <v>0</v>
      </c>
      <c r="D128" s="143">
        <f>(C128+C129)/SUM(C126:C130)</f>
        <v>0.16666666666666666</v>
      </c>
    </row>
    <row r="129" spans="1:4" x14ac:dyDescent="0.2">
      <c r="A129" s="139"/>
      <c r="B129" s="6" t="s">
        <v>1</v>
      </c>
      <c r="C129" s="16">
        <f>COUNTIF(Mosquito!$H$28,"Bad")+COUNTIF(Body!$J$29,"Bad")+COUNTIF(Quechua!$I$28,"Bad")+COUNTIF(Melanoma!$H$28,"Bad")+COUNTIF(Leaf!$H$28,"Bad")+COUNTIF(Antimicrobial!$H$28,"Bad")+COUNTIF(Albanian!$H$28,"Bad")+COUNTIF(Prostate!$H$28,"Bad")+COUNTIF(Kenya!$H$28,"Bad")+COUNTIF(Indonesia!$H$28,"Bad")+COUNTIF(Lontar!$H$28,"Bad")+COUNTIF(Kurdish!$H$28,"Bad")</f>
        <v>2</v>
      </c>
      <c r="D129" s="144"/>
    </row>
    <row r="130" spans="1:4" x14ac:dyDescent="0.2">
      <c r="A130" s="140"/>
      <c r="B130" s="7" t="s">
        <v>2</v>
      </c>
      <c r="C130" s="16">
        <f>COUNTIF(Mosquito!$H$28,"Hallucinate")+COUNTIF(Body!$J$29,"Hallucinate")+COUNTIF(Quechua!$I$28,"Hallucinate")+COUNTIF(Melanoma!$H$28,"Hallucinate")+COUNTIF(Leaf!$H$28,"Hallucinate")+COUNTIF(Antimicrobial!$H$28,"Hallucinate")+COUNTIF(Albanian!$H$28,"Hallucinate")+COUNTIF(Prostate!$H$28,"Hallucinate")+COUNTIF(Kenya!$H$28,"Hallucinate")+COUNTIF(Indonesia!$H$28,"Hallucinate")+COUNTIF(Lontar!$H$28,"Hallucinate")+COUNTIF(Kurdish!$H$28,"Hallucinate")</f>
        <v>0</v>
      </c>
      <c r="D130" s="10">
        <f>(C130)/SUM(C126:C130)</f>
        <v>0</v>
      </c>
    </row>
  </sheetData>
  <mergeCells count="77">
    <mergeCell ref="A1:D1"/>
    <mergeCell ref="A126:A130"/>
    <mergeCell ref="D126:D127"/>
    <mergeCell ref="D128:D129"/>
    <mergeCell ref="B114:D114"/>
    <mergeCell ref="A116:A120"/>
    <mergeCell ref="D116:D117"/>
    <mergeCell ref="D118:D119"/>
    <mergeCell ref="A121:A125"/>
    <mergeCell ref="D121:D122"/>
    <mergeCell ref="D123:D124"/>
    <mergeCell ref="A104:A108"/>
    <mergeCell ref="D104:D105"/>
    <mergeCell ref="D106:D107"/>
    <mergeCell ref="A109:A113"/>
    <mergeCell ref="D109:D110"/>
    <mergeCell ref="D111:D112"/>
    <mergeCell ref="B92:D92"/>
    <mergeCell ref="A94:A98"/>
    <mergeCell ref="D94:D95"/>
    <mergeCell ref="D96:D97"/>
    <mergeCell ref="A99:A103"/>
    <mergeCell ref="D99:D100"/>
    <mergeCell ref="D101:D102"/>
    <mergeCell ref="A82:A86"/>
    <mergeCell ref="D82:D83"/>
    <mergeCell ref="D84:D85"/>
    <mergeCell ref="A87:A91"/>
    <mergeCell ref="D87:D88"/>
    <mergeCell ref="D89:D90"/>
    <mergeCell ref="B70:D70"/>
    <mergeCell ref="A72:A76"/>
    <mergeCell ref="D72:D73"/>
    <mergeCell ref="D74:D75"/>
    <mergeCell ref="A77:A81"/>
    <mergeCell ref="D77:D78"/>
    <mergeCell ref="D79:D80"/>
    <mergeCell ref="A60:A64"/>
    <mergeCell ref="D60:D61"/>
    <mergeCell ref="D62:D63"/>
    <mergeCell ref="A65:A69"/>
    <mergeCell ref="D65:D66"/>
    <mergeCell ref="D67:D68"/>
    <mergeCell ref="A48:A52"/>
    <mergeCell ref="D48:D49"/>
    <mergeCell ref="D50:D51"/>
    <mergeCell ref="B53:D53"/>
    <mergeCell ref="A55:A59"/>
    <mergeCell ref="D55:D56"/>
    <mergeCell ref="D57:D58"/>
    <mergeCell ref="B36:D36"/>
    <mergeCell ref="A38:A42"/>
    <mergeCell ref="D38:D39"/>
    <mergeCell ref="D40:D41"/>
    <mergeCell ref="A43:A47"/>
    <mergeCell ref="D43:D44"/>
    <mergeCell ref="D45:D46"/>
    <mergeCell ref="A26:A30"/>
    <mergeCell ref="D26:D27"/>
    <mergeCell ref="D28:D29"/>
    <mergeCell ref="A31:A35"/>
    <mergeCell ref="D31:D32"/>
    <mergeCell ref="D33:D34"/>
    <mergeCell ref="A14:A18"/>
    <mergeCell ref="D14:D15"/>
    <mergeCell ref="D16:D17"/>
    <mergeCell ref="B19:D19"/>
    <mergeCell ref="A21:A25"/>
    <mergeCell ref="D21:D22"/>
    <mergeCell ref="D23:D24"/>
    <mergeCell ref="B2:D2"/>
    <mergeCell ref="A4:A8"/>
    <mergeCell ref="D4:D5"/>
    <mergeCell ref="D6:D7"/>
    <mergeCell ref="A9:A13"/>
    <mergeCell ref="D9:D10"/>
    <mergeCell ref="D11:D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3B4B8-FBB0-5F46-A1E3-2F18102E52E5}">
  <dimension ref="A1:I30"/>
  <sheetViews>
    <sheetView topLeftCell="D1" zoomScaleNormal="100" workbookViewId="0">
      <selection activeCell="F2" sqref="F2"/>
    </sheetView>
  </sheetViews>
  <sheetFormatPr baseColWidth="10" defaultRowHeight="16" x14ac:dyDescent="0.2"/>
  <cols>
    <col min="1" max="1" width="27.33203125" style="19" customWidth="1"/>
    <col min="2" max="2" width="37.5" style="18" customWidth="1"/>
    <col min="3" max="3" width="34" style="18" customWidth="1"/>
    <col min="4" max="4" width="59.5" style="17" customWidth="1"/>
    <col min="5" max="5" width="54.83203125" style="17" customWidth="1"/>
    <col min="6" max="6" width="37.33203125" style="1" customWidth="1"/>
    <col min="7" max="8" width="33.6640625" style="17" customWidth="1"/>
    <col min="9" max="9" width="37.33203125" style="17" customWidth="1"/>
    <col min="10" max="16384" width="10.83203125" style="17"/>
  </cols>
  <sheetData>
    <row r="1" spans="1:9" s="19" customFormat="1" ht="33" customHeight="1" thickBot="1" x14ac:dyDescent="0.25">
      <c r="A1" s="44" t="s">
        <v>9</v>
      </c>
      <c r="B1" s="44" t="s">
        <v>105</v>
      </c>
      <c r="C1" s="44" t="s">
        <v>104</v>
      </c>
      <c r="D1" s="42" t="s">
        <v>103</v>
      </c>
      <c r="E1" s="42" t="s">
        <v>19</v>
      </c>
      <c r="F1" s="191" t="s">
        <v>102</v>
      </c>
      <c r="G1" s="43" t="s">
        <v>101</v>
      </c>
      <c r="H1" s="43" t="s">
        <v>19</v>
      </c>
      <c r="I1" s="43" t="s">
        <v>266</v>
      </c>
    </row>
    <row r="2" spans="1:9" s="19" customFormat="1" ht="364" customHeight="1" thickTop="1" x14ac:dyDescent="0.2">
      <c r="A2" s="149" t="s">
        <v>99</v>
      </c>
      <c r="B2" s="38" t="s">
        <v>98</v>
      </c>
      <c r="C2" s="30" t="s">
        <v>97</v>
      </c>
      <c r="D2" s="20" t="str">
        <f>"Purposes: "&amp; '[1]Results-low'!G2&amp;CHAR(10)&amp;CHAR(10)&amp;"Tasks: "&amp;'[1]Results-low'!G3 &amp;CHAR(10)&amp;CHAR(10)&amp;"Gaps: "&amp;'[1]Results-low'!G5 &amp;CHAR(10)&amp;CHAR(10)&amp;"Tags: "&amp;'[1]Results-low'!G4</f>
        <v>Purposes:  The purpose of the dataset is to help develop a machine learning model that can recognize mosquito species in normal or smashed conditions in the public community.
Tasks:  image-classification, classification
Gaps:  The dataset intends to fill the gap of a dataset that contains images of mosquitoes in smashed or damaged conditions, as well as images of mosquitoes of three species (Aedes aegypti, Aedes albopictus and Culex quinquefasciatus) annotated to species level. It also aims to provide data with human skin tone diversity and images taken in a high-resolution camera and under standardized laboratory conditions.
Tags:  Mosquito surveillance, Aedes aegypti, Aedes albopictus, Culex quinquefasciatus, human skin tone diversity, machine learning, deep convolutional neural networks, Teachable Machine 2.0, data splitting, partitioning, hyperparameters, learning rate, batch size, epoch, confusion matrix, accuracy, loss, annotation, taxonomy, medical entomologist, Creative Commons license.</v>
      </c>
      <c r="E2" s="20" t="str">
        <f>"Purposes: "&amp; '[1]Results-low'!K2&amp;CHAR(10)&amp;CHAR(10)&amp;"Tasks: "&amp;'[1]Results-low'!K3 &amp;CHAR(10)&amp;CHAR(10)&amp;"Gaps: "&amp;'[1]Results-low'!K5 &amp;CHAR(10)&amp;CHAR(10)&amp;"Tags: "&amp;'[1]Results-low'!K4</f>
        <v>Purposes: a new mosquito images dataset that is suitable for training and evaluating a recognition system on mosquitoes in normal or smashed conditions.
Tasks: image-classification
Gaps: The images of mosquito in hashed condition, which to the best of our knowledge, a dataset that fulfilled such condition is not available.
Tags: Aedes aegypti, Aedes albopictus, Culex quinquefasciatus</v>
      </c>
      <c r="F2" s="192" t="s">
        <v>442</v>
      </c>
      <c r="G2" s="41" t="s">
        <v>0</v>
      </c>
      <c r="H2" s="41" t="s">
        <v>50</v>
      </c>
      <c r="I2" s="40" t="s">
        <v>96</v>
      </c>
    </row>
    <row r="3" spans="1:9" s="19" customFormat="1" ht="160" customHeight="1" x14ac:dyDescent="0.2">
      <c r="A3" s="150"/>
      <c r="B3" s="31" t="s">
        <v>95</v>
      </c>
      <c r="C3" s="30" t="s">
        <v>94</v>
      </c>
      <c r="D3" s="20" t="str">
        <f>'[1]Results-low'!G7&amp;CHAR(10)&amp;CHAR(10)&amp;'[1]Results-low'!G8</f>
        <v xml:space="preserve"> The dataset is recommended for applications that require a recognition system to classify mosquito species in normal or smashed conditions.
 No.</v>
      </c>
      <c r="E3" s="20" t="str">
        <f>'[1]Results-low'!K7&amp;CHAR(10)&amp;CHAR(10)&amp;'[1]Results-low'!K8</f>
        <v>The image dataset consists of six root files which are raw image data of three mosquito species with two conditions, respectively, and one data pre-processed file that could serve as an authenticated dataset in recognise three of the mosquitoes, and subsequently applied by potential user such as machine learning engineer, apps developer, data scientist, etc. The ultimate goal for the application can benefit in developing a more effective tools in recognise the mosquito species, which is crucial in mosquito surveillance.
no</v>
      </c>
      <c r="F3" s="192" t="s">
        <v>443</v>
      </c>
      <c r="G3" s="28" t="s">
        <v>34</v>
      </c>
      <c r="H3" s="28" t="s">
        <v>34</v>
      </c>
      <c r="I3" s="39" t="s">
        <v>96</v>
      </c>
    </row>
    <row r="4" spans="1:9" s="19" customFormat="1" ht="133" customHeight="1" x14ac:dyDescent="0.2">
      <c r="A4" s="150"/>
      <c r="B4" s="31" t="s">
        <v>93</v>
      </c>
      <c r="C4" s="30" t="s">
        <v>92</v>
      </c>
      <c r="D4" s="20" t="str">
        <f>'[1]Results-low'!G9</f>
        <v xml:space="preserve"> The models used to test the dataset are deep convolutional neural networks (DCNN).  The results of the pilot test of the deep learning model are summarized in Figure 4. The confusion matrix, accuracy, and error loss are shown for the dataset tested at three learning rates (0.01, 0.001, and 0.0001).</v>
      </c>
      <c r="E4" s="20" t="str">
        <f>'[1]Results-low'!K9</f>
        <v>AlexNet6, ResNet and VGG-167, F1 = 0.998, Accuracy = 0.998, and other metrics are not mentioned</v>
      </c>
      <c r="F4" s="192" t="s">
        <v>444</v>
      </c>
      <c r="G4" s="32" t="s">
        <v>0</v>
      </c>
      <c r="H4" s="32" t="s">
        <v>7</v>
      </c>
      <c r="I4" s="40" t="s">
        <v>267</v>
      </c>
    </row>
    <row r="5" spans="1:9" s="19" customFormat="1" ht="51" x14ac:dyDescent="0.2">
      <c r="A5" s="151" t="s">
        <v>91</v>
      </c>
      <c r="B5" s="24" t="s">
        <v>90</v>
      </c>
      <c r="C5" s="23" t="s">
        <v>89</v>
      </c>
      <c r="D5" s="20" t="str">
        <f>'[1]Results-low'!G10</f>
        <v xml:space="preserve"> Song-Quan Ong &amp; Hamdan Ahmad, Universiti Malaysia Sabah</v>
      </c>
      <c r="E5" s="20" t="str">
        <f>'[1]Results-low'!K10</f>
        <v>Song-Quan Ong &amp; Hamdan Ahmad</v>
      </c>
      <c r="F5" s="192" t="s">
        <v>445</v>
      </c>
      <c r="G5" s="32" t="s">
        <v>50</v>
      </c>
      <c r="H5" s="32" t="s">
        <v>50</v>
      </c>
      <c r="I5" s="40" t="s">
        <v>96</v>
      </c>
    </row>
    <row r="6" spans="1:9" s="19" customFormat="1" ht="112" x14ac:dyDescent="0.2">
      <c r="A6" s="152"/>
      <c r="B6" s="24" t="s">
        <v>29</v>
      </c>
      <c r="C6" s="23" t="s">
        <v>88</v>
      </c>
      <c r="D6" s="20" t="str">
        <f>'[1]Results-low'!G11 &amp; CHAR(10) &amp; CHAR(10) &amp; "Type:" &amp; '[1]Results-low'!G12  &amp; CHAR(10) &amp; CHAR(10) &amp; "Grants ID:" &amp; '[1]Results-low'!G13</f>
        <v xml:space="preserve"> Yes, the work was partly supported by Ministry of Higher Education Fundamental Research Grant Scheme (FRGS) (FRGS/1/2021/STG03/KDUPG/02/1) SQO, Principal Investigator.
Type: Unknown
Grants ID: Not provided.</v>
      </c>
      <c r="E6" s="20" t="str">
        <f>'[1]Results-low'!K11 &amp; CHAR(10) &amp; CHAR(10) &amp; "Type:" &amp; '[1]Results-low'!K12  &amp; CHAR(10) &amp; CHAR(10) &amp; "Grants ID:" &amp; '[1]Results-low'!K13</f>
        <v>The work was partly supported by Ministry of Higher Education Fundamental Research Grant Scheme (FRGS)
Type:public
Grants ID:FRGS/1/2021/STG03/KDUPG/02/1)</v>
      </c>
      <c r="F6" s="192" t="s">
        <v>446</v>
      </c>
      <c r="G6" s="28" t="s">
        <v>34</v>
      </c>
      <c r="H6" s="28" t="s">
        <v>50</v>
      </c>
      <c r="I6" s="40" t="s">
        <v>96</v>
      </c>
    </row>
    <row r="7" spans="1:9" s="19" customFormat="1" ht="302" customHeight="1" x14ac:dyDescent="0.2">
      <c r="A7" s="152"/>
      <c r="B7" s="24" t="s">
        <v>87</v>
      </c>
      <c r="C7" s="23" t="s">
        <v>86</v>
      </c>
      <c r="D7" s="20" t="str">
        <f>'[1]Results-low'!G14 &amp; CHAR(10) &amp; CHAR(10) &amp; "Contribution guidelines:" &amp; '[1]Results-low'!G15  &amp; CHAR(10) &amp; CHAR(10) &amp; "Erratum:" &amp; '[1]Results-low'!G16 &amp; CHAR(10) &amp; CHAR(10) &amp; "Data Retention:" &amp; '[1]Results-low'!G17</f>
        <v xml:space="preserve"> The maintainers of the dataset are Song-Quan Ong and Hamdan Ahmad.
Contribution guidelines: No.
Erratum: No.
Data Retention: No.</v>
      </c>
      <c r="E7" s="20" t="str">
        <f>'[1]Results-low'!K14 &amp; CHAR(10) &amp; CHAR(10) &amp; "Contribution guidelines:" &amp; '[1]Results-low'!K15  &amp; CHAR(10) &amp; CHAR(10) &amp; "Erratum:" &amp; '[1]Results-low'!K16 &amp; CHAR(10) &amp; CHAR(10) &amp; "Data Retention:" &amp; '[1]Results-low'!K17</f>
        <v>Song-Quan Ong &amp; Hamdan Ahmad
Contribution guidelines:The dataset consists of only three mosquito species.
Erratum:no
Data Retention:no</v>
      </c>
      <c r="F7" s="192" t="s">
        <v>447</v>
      </c>
      <c r="G7" s="32" t="s">
        <v>34</v>
      </c>
      <c r="H7" s="32" t="s">
        <v>50</v>
      </c>
      <c r="I7" s="39" t="s">
        <v>96</v>
      </c>
    </row>
    <row r="8" spans="1:9" s="19" customFormat="1" ht="48" x14ac:dyDescent="0.2">
      <c r="A8" s="153" t="s">
        <v>85</v>
      </c>
      <c r="B8" s="31" t="s">
        <v>84</v>
      </c>
      <c r="C8" s="30" t="s">
        <v>83</v>
      </c>
      <c r="D8" s="20" t="str">
        <f>'[1]Results-low'!G18</f>
        <v xml:space="preserve"> Yes, the dataset is publicly available in Mendeley Data, Identification number: https://doi.org/10.17632/zw4p9kj6nt.2.</v>
      </c>
      <c r="E8" s="20" t="str">
        <f>'[1]Results-low'!K18</f>
        <v>Yes</v>
      </c>
      <c r="F8" s="192" t="s">
        <v>448</v>
      </c>
      <c r="G8" s="28" t="s">
        <v>50</v>
      </c>
      <c r="H8" s="28" t="s">
        <v>43</v>
      </c>
      <c r="I8" s="39" t="s">
        <v>96</v>
      </c>
    </row>
    <row r="9" spans="1:9" s="19" customFormat="1" ht="365" x14ac:dyDescent="0.2">
      <c r="A9" s="150"/>
      <c r="B9" s="38" t="s">
        <v>82</v>
      </c>
      <c r="C9" s="30" t="s">
        <v>81</v>
      </c>
      <c r="D9" s="20" t="str">
        <f>"License: "&amp; '[1]Results-low'!G19 &amp; CHAR(10) &amp; CHAR(10)
&amp; "Thid-parties in-charge: "&amp; '[1]Results-low'!G24 &amp; CHAR(10) &amp; CHAR(10)
&amp; "Attribution notice: "&amp; '[1]Results-low'!G23 &amp; CHAR(10) &amp; CHAR(10)
&amp; "Data Stand-alone:" &amp; '[1]Results-low'!G21  &amp; CHAR(10) &amp; CHAR(10) &amp; "Model trained with the data:" &amp; '[1]Results-low'!G22</f>
        <v>License:  Creative Commons Attribution 4.0 International License
Thid-parties in-charge:  Yes, the dataset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
Attribution notice:  No, the authors are in charge of the license and distribution of the dataset.
Data Stand-alone: The models trained with this data are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
Model trained with the data: Yes, the dataset is licensed under a Creative Commons Attribution 4.0 International License, which requires users to give appropriate credit to the original author(s) and the source, provide a link to the Creative Commons license, and indicate if changes were made.</v>
      </c>
      <c r="E9" s="20" t="str">
        <f>"License: "&amp; '[1]Results-low'!K19 &amp; CHAR(10) &amp; CHAR(10)
&amp; "Thid-parties in-charge: "&amp; '[1]Results-low'!K24 &amp; CHAR(10) &amp; CHAR(10)
&amp; "Attribution notice: "&amp; '[1]Results-low'!K23 &amp; CHAR(10) &amp; CHAR(10)
&amp; "Data Stand-alone:" &amp; '[1]Results-low'!K21  &amp; CHAR(10) &amp; CHAR(10) &amp; "Model trained with the data:" &amp; '[1]Results-low'!K22</f>
        <v>License: Creative Commons Attribution 4.0 International License
Thid-parties in-charge: The dataset is publicly available in Mendeley Data, Identification number: https://doi.org/10.17632/zw4p9kj6nt.2.
Attribution notice: No
Data Stand-alone:Creative Commons Attribution 4.0 International License
Model trained with the data:This article is licensed under a Creative Commons Attribution 4.0 International License</v>
      </c>
      <c r="F9" s="193" t="s">
        <v>449</v>
      </c>
      <c r="G9" s="32" t="s">
        <v>42</v>
      </c>
      <c r="H9" s="32" t="s">
        <v>42</v>
      </c>
      <c r="I9" s="37" t="s">
        <v>96</v>
      </c>
    </row>
    <row r="10" spans="1:9" s="19" customFormat="1" ht="32" x14ac:dyDescent="0.2">
      <c r="A10" s="150"/>
      <c r="B10" s="31" t="s">
        <v>33</v>
      </c>
      <c r="C10" s="30" t="s">
        <v>80</v>
      </c>
      <c r="D10" s="34" t="s">
        <v>79</v>
      </c>
      <c r="E10" s="34" t="s">
        <v>78</v>
      </c>
      <c r="F10" s="193" t="s">
        <v>345</v>
      </c>
      <c r="G10" s="28" t="s">
        <v>50</v>
      </c>
      <c r="H10" s="28" t="s">
        <v>50</v>
      </c>
      <c r="I10" s="37" t="s">
        <v>96</v>
      </c>
    </row>
    <row r="11" spans="1:9" s="19" customFormat="1" ht="256" x14ac:dyDescent="0.2">
      <c r="A11" s="152" t="s">
        <v>77</v>
      </c>
      <c r="B11" s="24" t="s">
        <v>76</v>
      </c>
      <c r="C11" s="23" t="s">
        <v>75</v>
      </c>
      <c r="D11" s="20" t="str">
        <f>"Files:" &amp;'[1]Results-low'!G27 &amp; CHAR(10) &amp; CHAR(10) &amp; "Attributes:" &amp; '[1]Results-low'!G28</f>
        <v>Files: The dataset consists of seven root files, six root files that composed of six classes (each species with either normal landing, or random damaged conditions) with a total of 1500 images, and one pre-processed file which consists of a train, test and prediction set, respectively for model construction. The six root files represent six classes of mosquitoes, and the pre-processed file contains data that have been augmented with four degrees of rotation – 0°, 90°, 180°, 270°, and partitioned into a training and testing set, and one prediction set to evaluate the model performance.
Attributes: The dataset contains images of three mosquito species (Aedes aegypti, Aedes albopictus, and Culex quinquefasciatus) in two conditions (normal landing and smashed/damaged). The images were annotated until species level and resized to 224 x 224 pixels. The dataset also contains a data pre-processed file that has data that have been augmented with four degrees of rotation (0°, 90°, 180°, 270°) and partitioned into a training and testing set, and one prediction set to evaluate the model performance.</v>
      </c>
      <c r="E11" s="20" t="str">
        <f>"Files:" &amp;'[1]Results-low'!K27 &amp; CHAR(10) &amp; CHAR(10) &amp; "Attributes:" &amp; '[1]Results-low'!K28</f>
        <v>Files:Six root files that represent six classes of mosquitoes, and one pre-processed file
Attributes:The dataset contains a data pre-processed file that has data that have been augmented with four degrees of rotation – 0°, 90°, 180°, 270°, and partitioned into a training and testing set, and one prediction set to evaluate the model performance.</v>
      </c>
      <c r="F11" s="193" t="s">
        <v>450</v>
      </c>
      <c r="G11" s="32" t="s">
        <v>34</v>
      </c>
      <c r="H11" s="32" t="s">
        <v>34</v>
      </c>
      <c r="I11" s="37" t="s">
        <v>96</v>
      </c>
    </row>
    <row r="12" spans="1:9" s="19" customFormat="1" ht="64" x14ac:dyDescent="0.2">
      <c r="A12" s="152"/>
      <c r="B12" s="24" t="s">
        <v>74</v>
      </c>
      <c r="C12" s="23" t="s">
        <v>73</v>
      </c>
      <c r="D12" s="20" t="str">
        <f>'[1]Results-low'!G31</f>
        <v xml:space="preserve"> The dataset contains a data pre-processed file that has data that have been augmented with four degrees of rotation – 0°, 90°, 180°, 270°, and partitioned into a training and testing set, and one prediction set to evaluate the model performance.</v>
      </c>
      <c r="E12" s="20" t="str">
        <f>'[1]Results-low'!K31</f>
        <v>training set (85%) and the prediction is carried out on a testing set (15%)</v>
      </c>
      <c r="F12" s="193" t="s">
        <v>451</v>
      </c>
      <c r="G12" s="32" t="s">
        <v>42</v>
      </c>
      <c r="H12" s="32" t="s">
        <v>34</v>
      </c>
      <c r="I12" s="37" t="s">
        <v>96</v>
      </c>
    </row>
    <row r="13" spans="1:9" s="19" customFormat="1" ht="96" x14ac:dyDescent="0.2">
      <c r="A13" s="152"/>
      <c r="B13" s="27" t="s">
        <v>72</v>
      </c>
      <c r="C13" s="23" t="s">
        <v>71</v>
      </c>
      <c r="D13" s="20" t="str">
        <f>'[1]Results-low'!G31 &amp;  CHAR(10) &amp; CHAR(10) &amp; '[1]Results-low'!G30</f>
        <v xml:space="preserve"> The dataset contains a data pre-processed file that has data that have been augmented with four degrees of rotation – 0°, 90°, 180°, 270°, and partitioned into a training and testing set, and one prediction set to evaluate the model performance.
 No, there is no explicit consistency rule for the data.</v>
      </c>
      <c r="E13" s="20" t="str">
        <f>'[1]Results-low'!K31 &amp;  CHAR(10) &amp; CHAR(10) &amp; '[1]Results-low'!K30</f>
        <v>training set (85%) and the prediction is carried out on a testing set (15%)
No</v>
      </c>
      <c r="F13" s="193" t="s">
        <v>452</v>
      </c>
      <c r="G13" s="28" t="s">
        <v>34</v>
      </c>
      <c r="H13" s="28" t="s">
        <v>34</v>
      </c>
      <c r="I13" s="37"/>
    </row>
    <row r="14" spans="1:9" s="19" customFormat="1" ht="191" customHeight="1" x14ac:dyDescent="0.2">
      <c r="A14" s="153" t="s">
        <v>70</v>
      </c>
      <c r="B14" s="31" t="s">
        <v>44</v>
      </c>
      <c r="C14" s="30" t="s">
        <v>69</v>
      </c>
      <c r="D14" s="20" t="str">
        <f>'[1]Results-low'!G33</f>
        <v xml:space="preserve"> The data was collected by using a DSLR camera with Tamron SP AF 90 mm f/2.8 Di Macro Lens in a netted cage with 34 W white light illumination on top of the cage. The volunteers consisted of three ethnicities – Malay, Chinese and India, and the mosquitoes were bred and grew to adult stage, 4–5 days old in a fully control laboratory. The images were acquired by releasing the mosquitoes one by one from a Polyethylene terephthalate (PET) container and different angles of the landed mosquitos’ images were acquired. Smashed mosquitoes were generated by smashing the mosquito randomly by a human palm in a non-feeding, partial, or fully repletion situation.</v>
      </c>
      <c r="E14" s="20" t="str">
        <f>'[1]Results-low'!K33</f>
        <v>The mosquito obtained from the mosquito breeding was transferred by a Polyethylene terephthalate (PET) container (diameter 12 cm, height 6 cm, Fig. 2a) to the net cage for image acquisition. The container and camera were placed in the cage for 30 minutes to allow the mosquito to adapt to the environment before images acquisition. The images were acquired by a digital single-lens reflex (DSLR) camera (Canon 7D, 18MP APS-C CMOS sensor, ISO 3200, auto white balance) with Tamron SP AF 90.
Labels: Aedes aegypti, Aedes albopictus, Culex quinquefasciatus</v>
      </c>
      <c r="F14" s="194" t="s">
        <v>453</v>
      </c>
      <c r="G14" s="28" t="s">
        <v>50</v>
      </c>
      <c r="H14" s="28" t="s">
        <v>34</v>
      </c>
      <c r="I14" s="87" t="s">
        <v>96</v>
      </c>
    </row>
    <row r="15" spans="1:9" s="19" customFormat="1" ht="124" customHeight="1" x14ac:dyDescent="0.2">
      <c r="A15" s="150"/>
      <c r="B15" s="31" t="s">
        <v>56</v>
      </c>
      <c r="C15" s="30" t="s">
        <v>68</v>
      </c>
      <c r="D15" s="20" t="str">
        <f>'[1]Results-low'!G34</f>
        <v xml:space="preserve"> Physical data collection</v>
      </c>
      <c r="E15" s="20" t="str">
        <f>'[1]Results-low'!K34</f>
        <v>Physical data collection</v>
      </c>
      <c r="F15" s="195" t="s">
        <v>235</v>
      </c>
      <c r="G15" s="28" t="s">
        <v>50</v>
      </c>
      <c r="H15" s="28" t="s">
        <v>50</v>
      </c>
      <c r="I15" s="35" t="s">
        <v>96</v>
      </c>
    </row>
    <row r="16" spans="1:9" s="19" customFormat="1" ht="128" x14ac:dyDescent="0.2">
      <c r="A16" s="150"/>
      <c r="B16" s="31" t="s">
        <v>67</v>
      </c>
      <c r="C16" s="30" t="s">
        <v>66</v>
      </c>
      <c r="D16" s="20" t="str">
        <f>'[1]Results-low'!G44 &amp; CHAR(10) &amp; CHAR(10) &amp; "Type: "&amp;  '[1]Results-low'!G45 &amp; CHAR(10) &amp; CHAR(10) &amp; "Demographics: " &amp;  '[1]Results-low'!G46</f>
        <v xml:space="preserve"> The team who collected the data was Song-Quan Ong, Hamdan Ahmad, and S.Q.O. All authors contributed substantially to providing data, checking the information on distribution and status of the species.
Type:  The data was collected by an internal team.
Demographics:  No, there is no demographic information of the data collection team.</v>
      </c>
      <c r="E16" s="20" t="str">
        <f>'[1]Results-low'!K44 &amp; CHAR(10) &amp; CHAR(10) &amp; "Type: "&amp;  '[1]Results-low'!K45 &amp; CHAR(10) &amp; CHAR(10) &amp; "Demographics: " &amp;  '[1]Results-low'!K46</f>
        <v>Song-Quan Ong &amp; Hamdan Ahmad
Type: an internal team
Demographics: No</v>
      </c>
      <c r="F16" s="195" t="s">
        <v>454</v>
      </c>
      <c r="G16" s="32" t="s">
        <v>50</v>
      </c>
      <c r="H16" s="32" t="s">
        <v>50</v>
      </c>
      <c r="I16" s="35" t="s">
        <v>96</v>
      </c>
    </row>
    <row r="17" spans="1:9" s="19" customFormat="1" ht="80" x14ac:dyDescent="0.2">
      <c r="A17" s="150"/>
      <c r="B17" s="31" t="s">
        <v>65</v>
      </c>
      <c r="C17" s="30" t="s">
        <v>64</v>
      </c>
      <c r="D17" s="29" t="str">
        <f>'[1]Results-low'!G39</f>
        <v xml:space="preserve"> No</v>
      </c>
      <c r="E17" s="29" t="str">
        <f>'[1]Results-low'!K39</f>
        <v>No</v>
      </c>
      <c r="F17" s="195" t="s">
        <v>455</v>
      </c>
      <c r="G17" s="28" t="s">
        <v>63</v>
      </c>
      <c r="H17" s="28" t="s">
        <v>50</v>
      </c>
      <c r="I17" s="35" t="s">
        <v>96</v>
      </c>
    </row>
    <row r="18" spans="1:9" s="19" customFormat="1" ht="160" x14ac:dyDescent="0.2">
      <c r="A18" s="150"/>
      <c r="B18" s="31" t="s">
        <v>62</v>
      </c>
      <c r="C18" s="30" t="s">
        <v>61</v>
      </c>
      <c r="D18" s="20" t="str">
        <f>'[1]Results-low'!G41 &amp; CHAR(10) &amp; CHAR(10) &amp;  '[1]Results-low'!G40 &amp; CHAR(10) &amp; CHAR(10) &amp; "Noise: " &amp;  '[1]Results-low'!G42 &amp; CHAR(10) &amp; CHAR(10) &amp; "Link: " &amp; '[1]Results-low'!G43</f>
        <v xml:space="preserve"> Vector Control Research Unit (VCRU), Universiti Sains Malaysia.
 The data has been collected from Vector Control Research Unit (VCRU), Universiti Sains Malaysia. VCRU is a WHO accredited breeding laboratory that provides pure bred of the susceptible strain of Ae. aegypti, Ae. albopictus and Cx quinquefasciatus.
Noise:  I don't know.
Link:  I don't know.</v>
      </c>
      <c r="E18" s="20" t="str">
        <f>'[1]Results-low'!K41 &amp; CHAR(10) &amp; CHAR(10) &amp;  '[1]Results-low'!K40 &amp; CHAR(10) &amp; CHAR(10) &amp; "Noise: " &amp;  '[1]Results-low'!K42 &amp; CHAR(10) &amp; CHAR(10) &amp; "Link: " &amp; '[1]Results-low'!K43</f>
        <v>Polyethylene terephthalate
not provided
Noise: I don't know
Link: not provided</v>
      </c>
      <c r="F18" s="195" t="s">
        <v>456</v>
      </c>
      <c r="G18" s="32" t="s">
        <v>42</v>
      </c>
      <c r="H18" s="32" t="s">
        <v>42</v>
      </c>
      <c r="I18" s="35" t="s">
        <v>96</v>
      </c>
    </row>
    <row r="19" spans="1:9" s="19" customFormat="1" ht="51" x14ac:dyDescent="0.2">
      <c r="A19" s="150"/>
      <c r="B19" s="31" t="s">
        <v>60</v>
      </c>
      <c r="C19" s="30" t="s">
        <v>59</v>
      </c>
      <c r="D19" s="20" t="str">
        <f>'[1]Results-low'!G35 &amp; CHAR(10) &amp; CHAR(10) &amp; '[1]Results-low'!G37</f>
        <v xml:space="preserve"> 5 April 2022 - 8 July 2022
 Vector Control Research Unit (VCRU), Universiti Sains Malaysia.</v>
      </c>
      <c r="E19" s="20" t="str">
        <f>'[1]Results-low'!K35 &amp; CHAR(10) &amp; CHAR(10) &amp; '[1]Results-low'!K37</f>
        <v>5 April 2022
Universiti Sains Malaysia</v>
      </c>
      <c r="F19" s="195" t="s">
        <v>457</v>
      </c>
      <c r="G19" s="28" t="s">
        <v>7</v>
      </c>
      <c r="H19" s="28" t="s">
        <v>7</v>
      </c>
      <c r="I19" s="35" t="s">
        <v>268</v>
      </c>
    </row>
    <row r="20" spans="1:9" s="19" customFormat="1" ht="173" customHeight="1" x14ac:dyDescent="0.2">
      <c r="A20" s="151" t="s">
        <v>58</v>
      </c>
      <c r="B20" s="24" t="s">
        <v>44</v>
      </c>
      <c r="C20" s="23" t="s">
        <v>57</v>
      </c>
      <c r="D20" s="20" t="str">
        <f>'[1]Results-low'!G48</f>
        <v xml:space="preserve"> The data of the dataset has been annotated until species level. The mosquitoes were bred and grew to adult stage, 4–5 days old in a fully control laboratory, Vector Control Research Unit, Universiti Sains Malaysia, which is accredited by WHO for insecticides susceptibility test. The data collection process involved transferring the mosquito from the mosquito breeding to a netted cage for image acquisition. The images were acquired by a digital single-lens reflex (DSLR) camera and the images were saved in JPEG format in the folders according to their classes. Images were later resized from original dimension into 224 × 224 pixels.</v>
      </c>
      <c r="E20" s="20" t="str">
        <f>'[1]Results-low'!K48</f>
        <v>The images were annotated until species level due to the specimen was purely bred in a WHO accredited breeding laboratory.</v>
      </c>
      <c r="F20" s="195" t="s">
        <v>458</v>
      </c>
      <c r="G20" s="32" t="s">
        <v>34</v>
      </c>
      <c r="H20" s="32" t="s">
        <v>34</v>
      </c>
      <c r="I20" s="35"/>
    </row>
    <row r="21" spans="1:9" s="19" customFormat="1" ht="57" customHeight="1" x14ac:dyDescent="0.2">
      <c r="A21" s="152"/>
      <c r="B21" s="24" t="s">
        <v>56</v>
      </c>
      <c r="C21" s="23" t="s">
        <v>55</v>
      </c>
      <c r="D21" s="20" t="str">
        <f>'[1]Results-low'!G49</f>
        <v xml:space="preserve"> Image and video annotations</v>
      </c>
      <c r="E21" s="20" t="str">
        <f>'[1]Results-low'!K49</f>
        <v>Image and video annotations</v>
      </c>
      <c r="F21" s="196" t="s">
        <v>383</v>
      </c>
      <c r="G21" s="28" t="s">
        <v>50</v>
      </c>
      <c r="H21" s="28" t="s">
        <v>50</v>
      </c>
      <c r="I21" s="26" t="s">
        <v>96</v>
      </c>
    </row>
    <row r="22" spans="1:9" s="19" customFormat="1" ht="44" customHeight="1" x14ac:dyDescent="0.2">
      <c r="A22" s="152"/>
      <c r="B22" s="24" t="s">
        <v>54</v>
      </c>
      <c r="C22" s="23" t="s">
        <v>53</v>
      </c>
      <c r="D22" s="34"/>
      <c r="E22" s="29" t="str">
        <f>'[1]Results-low'!K50</f>
        <v>Aedes aegypti, Aedes albopictus, Culex quinquefasciatus</v>
      </c>
      <c r="F22" s="196"/>
      <c r="G22" s="25"/>
      <c r="H22" s="25" t="s">
        <v>50</v>
      </c>
      <c r="I22" s="26" t="s">
        <v>96</v>
      </c>
    </row>
    <row r="23" spans="1:9" s="19" customFormat="1" ht="166" customHeight="1" x14ac:dyDescent="0.2">
      <c r="A23" s="152"/>
      <c r="B23" s="24" t="s">
        <v>52</v>
      </c>
      <c r="C23" s="23" t="s">
        <v>51</v>
      </c>
      <c r="D23" s="20" t="str">
        <f>'[1]Results-low'!G51 &amp; CHAR(10) &amp; CHAR(10) &amp; "Type:" &amp;'[1]Results-low'!G52 &amp; CHAR(10) &amp; CHAR(10) &amp; "Demographics:" &amp;'[1]Results-low'!G53</f>
        <v xml:space="preserve"> The data was annotated by two medical entomologists.
Type: The data was annotated by an internal team.
Demographics: No, there is no demographic information about the team who annotated the data.</v>
      </c>
      <c r="E23" s="20" t="str">
        <f>'[1]Results-low'!K51 &amp; CHAR(10) &amp; CHAR(10) &amp; "Type:" &amp;'[1]Results-low'!K52 &amp; CHAR(10) &amp; CHAR(10) &amp; "Demographics:" &amp;'[1]Results-low'!K53</f>
        <v>S.Q.O. compiled the data, created the first dataset version, and wrote the first version of the manuscript with inputs from H.A. and S.Q.O.
Type:an internal team
Demographics:The volunteer consists of three ethnicities – Malay, Chinese and India, which aim to reflect the diversity of human skin tone</v>
      </c>
      <c r="F23" s="196" t="s">
        <v>459</v>
      </c>
      <c r="G23" s="28" t="s">
        <v>50</v>
      </c>
      <c r="H23" s="28" t="s">
        <v>34</v>
      </c>
      <c r="I23" s="26"/>
    </row>
    <row r="24" spans="1:9" s="19" customFormat="1" ht="123" customHeight="1" x14ac:dyDescent="0.2">
      <c r="A24" s="152"/>
      <c r="B24" s="24" t="s">
        <v>49</v>
      </c>
      <c r="C24" s="23" t="s">
        <v>48</v>
      </c>
      <c r="D24" s="20" t="str">
        <f>'[1]Results-low'!G54</f>
        <v xml:space="preserve"> Teachable Machine 2.0</v>
      </c>
      <c r="E24" s="20" t="str">
        <f>'[1]Results-low'!K54</f>
        <v>Teachable Machine 2.0</v>
      </c>
      <c r="F24" s="196" t="s">
        <v>47</v>
      </c>
      <c r="G24" s="32" t="s">
        <v>42</v>
      </c>
      <c r="H24" s="32" t="s">
        <v>42</v>
      </c>
      <c r="I24" s="33" t="s">
        <v>96</v>
      </c>
    </row>
    <row r="25" spans="1:9" s="19" customFormat="1" ht="60" customHeight="1" x14ac:dyDescent="0.2">
      <c r="A25" s="152"/>
      <c r="B25" s="24" t="s">
        <v>46</v>
      </c>
      <c r="C25" s="23" t="s">
        <v>45</v>
      </c>
      <c r="D25" s="20" t="str">
        <f>'[1]Results-low'!G55</f>
        <v xml:space="preserve"> The dataset has been validated by two medical entomologists and the model has been tested with a pilot test using a deep learning model with three different learning rates.</v>
      </c>
      <c r="E25" s="20" t="str">
        <f>'[1]Results-low'!K55</f>
        <v>Confusion matrix, accuracy, and error loss</v>
      </c>
      <c r="F25" s="196" t="s">
        <v>460</v>
      </c>
      <c r="G25" s="28" t="s">
        <v>34</v>
      </c>
      <c r="H25" s="28" t="s">
        <v>42</v>
      </c>
      <c r="I25" s="26"/>
    </row>
    <row r="26" spans="1:9" s="19" customFormat="1" ht="85" x14ac:dyDescent="0.2">
      <c r="A26" s="148" t="s">
        <v>41</v>
      </c>
      <c r="B26" s="24" t="s">
        <v>40</v>
      </c>
      <c r="C26" s="23" t="s">
        <v>39</v>
      </c>
      <c r="D26" s="20" t="str">
        <f>'[1]Results-low'!G69</f>
        <v xml:space="preserve"> No, the dataset was collected from volunteers of three different ethnicities to reflect the diversity of human skin tone. The mosquitoes were bred and grown to adult stage in a fully controlled laboratory and the taxonomy of the mosquito was validated by two medical entomologists.</v>
      </c>
      <c r="E26" s="20" t="str">
        <f>'[1]Results-low'!K69</f>
        <v>The volunteers that participated in this dataset were Asian, and therefore is not covering the skin tone background of American, African, European, and Australian</v>
      </c>
      <c r="F26" s="196" t="s">
        <v>461</v>
      </c>
      <c r="G26" s="28" t="s">
        <v>34</v>
      </c>
      <c r="H26" s="28" t="s">
        <v>34</v>
      </c>
      <c r="I26" s="26" t="s">
        <v>96</v>
      </c>
    </row>
    <row r="27" spans="1:9" s="19" customFormat="1" ht="128" x14ac:dyDescent="0.2">
      <c r="A27" s="148"/>
      <c r="B27" s="27" t="s">
        <v>38</v>
      </c>
      <c r="C27" s="23" t="s">
        <v>37</v>
      </c>
      <c r="D27" s="20" t="str">
        <f>'[1]Results-low'!G70 &amp; CHAR(10) &amp; '[1]Results-low'!G71 &amp; CHAR(10) &amp; CHAR(10)  &amp; "Sensitivity: " &amp; '[1]Results-low'!G72</f>
        <v xml:space="preserve"> Yes, the dataset lacks human skin tone diversity. The volunteers that participated in this dataset were Asian, and therefore is not covering the skin tone background of American, African, European, and Australian.
 No, the dataset is balanced with 1500 images for each class.
Sensitivity:  No, there are no sensitive data or data that can be offensive for people in the dataset.</v>
      </c>
      <c r="E27" s="20" t="str">
        <f>'[1]Results-low'!K70 &amp; CHAR(10) &amp; '[1]Results-low'!K71 &amp; CHAR(10) &amp; CHAR(10)  &amp; "Sensitivity: " &amp; '[1]Results-low'!K72</f>
        <v>The volunteers that participated in this dataset were Asian, and therefore is not covering the skin tone background of American, African, European, and Australian
Lack of human skin tone diversity
Sensitivity: The volunteers that participated in this dataset were Asian, and therefore is not covering the skin tone background of American, African, European, and Australian</v>
      </c>
      <c r="F27" s="196" t="s">
        <v>462</v>
      </c>
      <c r="G27" s="25" t="s">
        <v>34</v>
      </c>
      <c r="H27" s="25" t="s">
        <v>34</v>
      </c>
      <c r="I27" s="26"/>
    </row>
    <row r="28" spans="1:9" s="19" customFormat="1" ht="85" x14ac:dyDescent="0.2">
      <c r="A28" s="148"/>
      <c r="B28" s="24" t="s">
        <v>36</v>
      </c>
      <c r="C28" s="23" t="s">
        <v>35</v>
      </c>
      <c r="D28" s="20" t="str">
        <f>'[1]Results-low'!G73</f>
        <v xml:space="preserve"> No, there are no privacy issues on the data. The dataset is publicly available and the volunteers that participated in this dataset were aware of the data collection process.</v>
      </c>
      <c r="E28" s="20" t="str">
        <f>'[1]Results-low'!K73</f>
        <v>Ethical approval for using participants palm and mosquito imaging was obtained from the ethics commission of the Universiti Malaysia Sabah (EM1012/2021).</v>
      </c>
      <c r="F28" s="196" t="s">
        <v>463</v>
      </c>
      <c r="G28" s="21" t="s">
        <v>34</v>
      </c>
      <c r="H28" s="21" t="s">
        <v>34</v>
      </c>
      <c r="I28" s="22" t="s">
        <v>96</v>
      </c>
    </row>
    <row r="29" spans="1:9" ht="20" customHeight="1" x14ac:dyDescent="0.2">
      <c r="F29" s="196" t="s">
        <v>464</v>
      </c>
      <c r="H29" s="176" t="s">
        <v>334</v>
      </c>
      <c r="I29" s="177">
        <v>53.57</v>
      </c>
    </row>
    <row r="30" spans="1:9" ht="34" x14ac:dyDescent="0.2">
      <c r="F30" s="197" t="s">
        <v>465</v>
      </c>
    </row>
  </sheetData>
  <mergeCells count="7">
    <mergeCell ref="A26:A28"/>
    <mergeCell ref="A2:A4"/>
    <mergeCell ref="A5:A7"/>
    <mergeCell ref="A8:A10"/>
    <mergeCell ref="A11:A13"/>
    <mergeCell ref="A14:A19"/>
    <mergeCell ref="A20:A25"/>
  </mergeCells>
  <conditionalFormatting sqref="G73:H84 G2:H28">
    <cfRule type="containsText" dxfId="103" priority="5" operator="containsText" text="Fair">
      <formula>NOT(ISERROR(SEARCH("Fair",G2)))</formula>
    </cfRule>
    <cfRule type="containsText" dxfId="102" priority="6" operator="containsText" text="Bad">
      <formula>NOT(ISERROR(SEARCH("Bad",G2)))</formula>
    </cfRule>
    <cfRule type="containsText" dxfId="101" priority="7" stopIfTrue="1" operator="containsText" text="Good">
      <formula>NOT(ISERROR(SEARCH("Good",G2)))</formula>
    </cfRule>
    <cfRule type="containsText" dxfId="100" priority="8" operator="containsText" text="Hallucinate">
      <formula>NOT(ISERROR(SEARCH("Hallucinate",G2)))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15C2D-8929-EA4E-A5DC-CB174A800ABF}">
  <dimension ref="A1:L30"/>
  <sheetViews>
    <sheetView topLeftCell="D1" workbookViewId="0">
      <selection activeCell="G1" sqref="G1:G1048576"/>
    </sheetView>
  </sheetViews>
  <sheetFormatPr baseColWidth="10" defaultColWidth="30.6640625" defaultRowHeight="16" x14ac:dyDescent="0.2"/>
  <cols>
    <col min="1" max="2" width="30.6640625" style="17"/>
    <col min="3" max="3" width="35.33203125" style="17" customWidth="1"/>
    <col min="4" max="4" width="47.33203125" style="17" customWidth="1"/>
    <col min="5" max="5" width="46.5" style="17" hidden="1" customWidth="1"/>
    <col min="6" max="6" width="46.5" style="17" customWidth="1"/>
    <col min="7" max="7" width="40" style="1" bestFit="1" customWidth="1"/>
    <col min="8" max="8" width="30.6640625" style="17"/>
    <col min="9" max="9" width="0" style="17" hidden="1" customWidth="1"/>
    <col min="10" max="10" width="30.6640625" style="17"/>
    <col min="11" max="11" width="37.33203125" style="17" customWidth="1"/>
    <col min="12" max="16384" width="30.6640625" style="17"/>
  </cols>
  <sheetData>
    <row r="1" spans="1:12" ht="17" thickBot="1" x14ac:dyDescent="0.25">
      <c r="A1" s="45" t="s">
        <v>9</v>
      </c>
      <c r="B1" s="45" t="s">
        <v>105</v>
      </c>
      <c r="C1" s="45" t="s">
        <v>104</v>
      </c>
      <c r="D1" s="46" t="s">
        <v>103</v>
      </c>
      <c r="E1" s="46" t="s">
        <v>100</v>
      </c>
      <c r="F1" s="46" t="s">
        <v>107</v>
      </c>
      <c r="G1" s="191" t="s">
        <v>102</v>
      </c>
      <c r="H1" s="43" t="s">
        <v>101</v>
      </c>
      <c r="I1" s="43" t="s">
        <v>100</v>
      </c>
      <c r="J1" s="43" t="s">
        <v>107</v>
      </c>
      <c r="K1" s="43" t="s">
        <v>266</v>
      </c>
    </row>
    <row r="2" spans="1:12" ht="321" thickTop="1" x14ac:dyDescent="0.2">
      <c r="A2" s="155" t="s">
        <v>108</v>
      </c>
      <c r="B2" s="38" t="s">
        <v>98</v>
      </c>
      <c r="C2" s="30" t="s">
        <v>97</v>
      </c>
      <c r="D2" s="47" t="str">
        <f>"Purposes: "&amp; '[2]Results-low'!G2&amp;CHAR(10)&amp;CHAR(10)&amp;"Gaps: "&amp;'[2]Results-low'!G5 &amp;CHAR(10)&amp;CHAR(10)&amp;"Tasks: "&amp;'[2]Results-low'!G3 &amp;CHAR(10)&amp;CHAR(10)&amp;"Tags: "&amp;'[2]Results-low'!G4</f>
        <v>Purposes:  The purpose of the dataset is to provide an annotated, publicly available dataset of PET/CT images that enables technical and clinical research in the area of machine learning-based analysis of PET/CT studies and to demonstrate a use case of deep learning-based automated segmentation of tumor lesions.
Gaps:  The dataset is intended to help develop and validate algorithms for PET/CT analysis, such as automated lesion segmentation, automated organ segmentation, and automated lesion tracking.
Tasks:  image-segmentation, classification, object-detection, data-to-text, feature-extraction
Tags:  PET/CT, DICOM, NIfTI, SUV, TCIA, FDG-PET-CT-Lesions, manual tumor segmentation, lung cancer, lymphoma, melanoma, automated lesion segmentation, deep learning, machine learning, quantitative analysis, medical imaging, image analysis.</v>
      </c>
      <c r="E2" s="47" t="str">
        <f>"Purposes: "&amp; '[2]Results-low'!I2&amp;CHAR(10)&amp;CHAR(10)&amp;"Gaps: "&amp;'[2]Results-low'!I5 &amp;CHAR(10)&amp;CHAR(10)&amp;"Tasks: "&amp;'[2]Results-low'!I3 &amp;CHAR(10)&amp;CHAR(10)&amp;"Tags: "&amp;'[2]Results-low'!I4</f>
        <v>Purposes: The dataset provides images and associated clinical information for the purpose of training and evaluating automated methods for detecting and characterizing lesions in PET-CT scans.
Gaps: The dataset intends to provide a large-scale dataset containing whole body FDG-PET/CT images and accompanying clinical information for the purposes of developing algorithms for automated detection and quantification of tumors in PET/CT scans. It will also enable research into new methods for diagnosis and treatment of various diseases through comparison of imaging features between healthy individuals and those suffering from certain conditions.
Tasks:  Tasks like text generation, text mining, classification etc.
Tags: lung cancer, lymphoma, melanoma</v>
      </c>
      <c r="F2" s="47" t="str">
        <f>"Purposes: "&amp; '[2]Results-low'!J2&amp;CHAR(10)&amp;CHAR(10)&amp;"Gaps: "&amp;'[2]Results-low'!J5 &amp;CHAR(10)&amp;CHAR(10)&amp;"Tasks: "&amp;'[2]Results-low'!J3 &amp;CHAR(10)&amp;CHAR(10)&amp;"Tags: "&amp;'[2]Results-low'!J4</f>
        <v>Purposes: to provide an annotated, publicly available dataset of PET/CT images that enables technical and clinical research in the area of machine learning-based analysis of PET/CT studies and to demonstrate a use case of deep learning-based automated segmentation of tumor lesions
Gaps: This dataset can thus contribute to the development of increasingly accurate, robust and clinically useful algorithms for PET/CT analysis.
Tasks: image-segmentation
Tags: fdg-pet-ct-lesions, positron-emission-tomography, positron-emission-tomography-computed-tomography, positron-emission-tomography-computed-tomography-dataset, positron-emission-tomography-computed-tomography-dataset, positron-emission-tomography-computed-tomography-dataset, positron-emission-tomography-computed-to</v>
      </c>
      <c r="G2" s="192" t="s">
        <v>393</v>
      </c>
      <c r="H2" s="41" t="s">
        <v>50</v>
      </c>
      <c r="I2" s="41" t="s">
        <v>43</v>
      </c>
      <c r="J2" s="41" t="s">
        <v>34</v>
      </c>
      <c r="K2" s="40" t="s">
        <v>96</v>
      </c>
    </row>
    <row r="3" spans="1:12" ht="192" x14ac:dyDescent="0.2">
      <c r="A3" s="156"/>
      <c r="B3" s="48" t="s">
        <v>95</v>
      </c>
      <c r="C3" s="49" t="s">
        <v>94</v>
      </c>
      <c r="D3" s="47" t="str">
        <f>'[2]Results-low'!G7&amp;CHAR(10)&amp;CHAR(10)&amp;'[2]Results-low'!G8</f>
        <v xml:space="preserve"> The dataset is recommended for the development and evaluation of machine learning methods for PET/CT analysis, as well as for clinical research regarding the included tumor entities. It can be used for deep learning-based automated analysis of PET/CT data, such as automated lesion segmentation, automated organ segmentation, or automated lesion tracking.
 No.</v>
      </c>
      <c r="E3" s="47" t="str">
        <f>'[2]Results-low'!I7&amp;CHAR(10)&amp;CHAR(10)&amp;'[2]Results-low'!I8</f>
        <v>The dataset is suitable for research into machine learning-based automated analysis of PET/CT data, including but not limited to detecting and segmenting metabolically active lesions in PET/CT studies of patients with lymphoma, melanoma and NSCLC. It could also be used for developing new techniques for automatic labeling of PET/CT studies, evaluating existing and future deep learning models for PET/CT analysis, and training other types of computer vision algorithms for medical image analysis tasks
No</v>
      </c>
      <c r="F3" s="47" t="str">
        <f>'[2]Results-low'!J7&amp;CHAR(10)&amp;CHAR(10)&amp;'[2]Results-low'!J8</f>
        <v>automated organ segmentation or automated lesion tracking
no</v>
      </c>
      <c r="G3" s="192" t="s">
        <v>394</v>
      </c>
      <c r="H3" s="28" t="s">
        <v>50</v>
      </c>
      <c r="I3" s="28" t="s">
        <v>34</v>
      </c>
      <c r="J3" s="28" t="s">
        <v>34</v>
      </c>
      <c r="K3" s="39" t="s">
        <v>96</v>
      </c>
    </row>
    <row r="4" spans="1:12" ht="64" customHeight="1" x14ac:dyDescent="0.2">
      <c r="A4" s="157"/>
      <c r="B4" s="48" t="s">
        <v>93</v>
      </c>
      <c r="C4" s="49" t="s">
        <v>92</v>
      </c>
      <c r="D4" s="47" t="str">
        <f>'[2]Results-low'!G9</f>
        <v xml:space="preserve"> The model used to test the dataset is nnUNet13.  The model used to test the dataset is nnUNet13. The metrics extracted with this model are Dice score, false positive volume and false negative volume. The mean Dice score of automated compared to manual lesion segmentation was 0.73 (±0.23) on positive datasets. Mean false positive/false negative volumes were 8.1 (±81.4) ml/15.1 (±80.3) ml respectively.</v>
      </c>
      <c r="E4" s="47" t="str">
        <f>'[2]Results-low'!I9</f>
        <v>The models used for testing the dataset include U-Net, DeepMix, and ResUNet.  The F1 Score, accuracy, precision, recall and other metrics extracted with the model depend on the type of task being tested. For instance, if the task involves classification then the metrics will be different than when the task involves regression. Additionally, depending on the model used, some metrics may be more relevant than others. For example, U-Net typically focuses on the Dice coefficient whereas DeepMix and ResUNet focus on the F1 scor</v>
      </c>
      <c r="F4" s="47" t="str">
        <f>'[2]Results-low'!J9</f>
        <v>nnUNet13, Dice score, false positive volume and false negative volume</v>
      </c>
      <c r="G4" s="192" t="s">
        <v>395</v>
      </c>
      <c r="H4" s="32" t="s">
        <v>34</v>
      </c>
      <c r="I4" s="32" t="s">
        <v>34</v>
      </c>
      <c r="J4" s="32" t="s">
        <v>34</v>
      </c>
      <c r="K4" s="40"/>
    </row>
    <row r="5" spans="1:12" ht="80" x14ac:dyDescent="0.2">
      <c r="A5" s="158" t="s">
        <v>109</v>
      </c>
      <c r="B5" s="50" t="s">
        <v>90</v>
      </c>
      <c r="C5" s="51" t="s">
        <v>89</v>
      </c>
      <c r="D5" s="47" t="str">
        <f>'[2]Results-low'!G10</f>
        <v xml:space="preserve"> Sergios Gatidis, Tobias Hepp, Marcel Früh, Christian La Fougère, Konstantin Nikolaou, Christina Pfannenberg, Bernhard Schölkopf, Thomas Küstner, Clemens Cyran, Daniel Rubin</v>
      </c>
      <c r="E5" s="47" t="str">
        <f>'[2]Results-low'!I10</f>
        <v>Whole Body FDG-PET/CT Dataset" was created by Sergios Gatidis, Tobias Hepp, Marcel Früh, Christian La Fougère, Konstantin Nikolaou, Christina Pfannenberg, Bernhard Schölkopf, Thomas Küstner, Clemens Cyran and Daniel Rubin.</v>
      </c>
      <c r="F5" s="47" t="str">
        <f>'[2]Results-low'!J10</f>
        <v>Sergios Gatidis, Tobias Hepp1, Marcel Früh, Christian La Fougère, Konstantin Nikolaou, Christina Pfannenberg, Bernhard Schölkopf, Thomas Küstner, Clemens Cyran &amp; Daniel Rubin</v>
      </c>
      <c r="G5" s="192" t="s">
        <v>396</v>
      </c>
      <c r="H5" s="32" t="s">
        <v>50</v>
      </c>
      <c r="I5" s="32" t="s">
        <v>50</v>
      </c>
      <c r="J5" s="32" t="s">
        <v>50</v>
      </c>
      <c r="K5" s="40" t="s">
        <v>96</v>
      </c>
    </row>
    <row r="6" spans="1:12" ht="208" x14ac:dyDescent="0.2">
      <c r="A6" s="159"/>
      <c r="B6" s="50" t="s">
        <v>29</v>
      </c>
      <c r="C6" s="51" t="s">
        <v>88</v>
      </c>
      <c r="D6" s="47" t="str">
        <f>'[2]Results-low'!G11 &amp; CHAR(10) &amp; CHAR(10) &amp; "Type:" &amp; '[2]Results-low'!G12  &amp; CHAR(10) &amp; CHAR(10) &amp; "Grants ID:" &amp; '[2]Results-low'!G13</f>
        <v xml:space="preserve"> Yes, this project was partly supported by intramural grants of Stanford University and the University of Tübingen. It was also conducted under Germany’s Excellence Strategy–EXC-Number 2064/1–390727645 and EXC 2180/1-390900677.
Type: Unknown
Grants ID: Not provided.</v>
      </c>
      <c r="E6" s="47" t="str">
        <f>'[2]Results-low'!I11 &amp; CHAR(10) &amp; CHAR(10) &amp; "Type:" &amp; '[2]Results-low'!I12  &amp; CHAR(10) &amp; CHAR(10) &amp; "Grants ID:" &amp; '[2]Results-low'!I13</f>
        <v xml:space="preserve"> Yes, the dataset was created as part of the AutoPET Challenge 2022, which was sponsored by the German Federal Ministry of Education and Research (BMBF), the European Union’s Horizon 2020 research and innovation program, and other organizations.
Type: The dataset was created as part of the AutoPET Challenge 2022, which was sponsored by the German Federal Ministry of Education and Research (BMBF), the European Union’s Horizon 2020 research and innovation program, and other organizations.
Grants ID: No, there is no specific grant ID provided.</v>
      </c>
      <c r="F6" s="47" t="str">
        <f>'[2]Results-low'!J11 &amp; CHAR(10) &amp; CHAR(10) &amp; "Type:" &amp; '[2]Results-low'!J12  &amp; CHAR(10) &amp; CHAR(10) &amp; "Grants ID:" &amp; '[2]Results-low'!J13</f>
        <v>This project was partly supported by intramural grants of Stanford University and the University of Tübingen.
Type:public
Grants ID:not provided</v>
      </c>
      <c r="G6" s="192" t="s">
        <v>397</v>
      </c>
      <c r="H6" s="28" t="s">
        <v>34</v>
      </c>
      <c r="I6" s="28" t="s">
        <v>42</v>
      </c>
      <c r="J6" s="28" t="s">
        <v>34</v>
      </c>
      <c r="K6" s="40" t="s">
        <v>96</v>
      </c>
    </row>
    <row r="7" spans="1:12" ht="320" x14ac:dyDescent="0.2">
      <c r="A7" s="160"/>
      <c r="B7" s="50" t="s">
        <v>87</v>
      </c>
      <c r="C7" s="51" t="s">
        <v>86</v>
      </c>
      <c r="D7" s="47" t="str">
        <f>'[2]Results-low'!G14 &amp; CHAR(10) &amp; CHAR(10) &amp; "Contribution guidelines:" &amp; '[2]Results-low'!G15  &amp; CHAR(10) &amp; CHAR(10) &amp; "Erratum:" &amp; '[2]Results-low'!G16 &amp; CHAR(10) &amp; CHAR(10) &amp; "Data Retention:" &amp; '[2]Results-low'!G17</f>
        <v xml:space="preserve"> S.G., D.R., T.K., T.H., K.N., C.L.F., M.F., C.P., B.S., C.C.
Contribution guidelines: No.
Erratum: No.
Data Retention: No.</v>
      </c>
      <c r="E7" s="47" t="str">
        <f>'[2]Results-low'!I14 &amp; CHAR(10) &amp; CHAR(10) &amp; "Contribution guidelines:" &amp; '[2]Results-low'!I15  &amp; CHAR(10) &amp; CHAR(10) &amp; "Erratum:" &amp; '[2]Results-low'!I16 &amp; CHAR(10) &amp; CHAR(10) &amp; "Data Retention:" &amp; '[2]Results-low'!I17</f>
        <v>The dataset is maintained by Sergios Gatidis, Tobias Hepp, Marcel Früh, Christian La Fougère, Konstantin Nikolaou, Christina Pfannenberg, Bernhard Schölkopf, Thomas Küstner, Clemens Cyran and Daniel Rubin.
Contribution guidelines: The dataset should be cited according to the standards of the corresponding field. It would also be helpful if users could provide citations to any relevant papers which use the dataset. Additionally, users may contribute additional documentation such as tutorials or example code which demonstrate how to use the dataset effectively.
Erratum:No, there is no specific grant ID provided.
Data Retention:No, the dataset was created as part of the AutoPET Challenge 2022, which was sponsored by the German Federal Ministry of Education and Research (BMBF), the European Union’s Horizon 2020 research and innovation program, and other organizations.</v>
      </c>
      <c r="F7" s="47" t="str">
        <f>'[2]Results-low'!J14 &amp; CHAR(10) &amp; CHAR(10) &amp; "Contribution guidelines:" &amp; '[2]Results-low'!J15  &amp; CHAR(10) &amp; CHAR(10) &amp; "Erratum:" &amp; '[2]Results-low'!J16 &amp; CHAR(10) &amp; CHAR(10) &amp; "Data Retention:" &amp; '[2]Results-low'!J17</f>
        <v>Sergios Gatidis, Tobias Hepp1 Marcel Früh, Christian La Fougère, Konstantin Nikolaou Christina Pfannenberg, Bernhard Schölkopf, Thomas Küstner, Clemens Cyran &amp; Daniel Rubin
Contribution guidelines:age &gt;18 years, histologically confirmed diagnosis of lung cancer, lymphoma or malignant melanoma, and presence of at least one FDG-avid tumor lesion according to the final clinical report
Erratum:no
Data Retention:no</v>
      </c>
      <c r="G7" s="192" t="s">
        <v>345</v>
      </c>
      <c r="H7" s="32" t="s">
        <v>50</v>
      </c>
      <c r="I7" s="32" t="s">
        <v>43</v>
      </c>
      <c r="J7" s="32" t="s">
        <v>43</v>
      </c>
      <c r="K7" s="39" t="s">
        <v>96</v>
      </c>
    </row>
    <row r="8" spans="1:12" ht="80" x14ac:dyDescent="0.2">
      <c r="A8" s="161" t="s">
        <v>110</v>
      </c>
      <c r="B8" s="48" t="s">
        <v>31</v>
      </c>
      <c r="C8" s="49" t="s">
        <v>83</v>
      </c>
      <c r="D8" s="47" t="str">
        <f>'[2]Results-low'!G18</f>
        <v xml:space="preserve"> Yes, the data is available under https://github.com/lab-midas/TCIA processing.</v>
      </c>
      <c r="E8" s="47" t="str">
        <f>'[2]Results-low'!I18</f>
        <v>No, the dataset was created as part of the AutoPET Challenge 2022, which was sponsored by the German Federal Ministry of Education and Research (BMBF), the European Union’s Horizon 2020 research and innovation program, and other organizations.</v>
      </c>
      <c r="F8" s="47" t="str">
        <f>'[2]Results-low'!J18</f>
        <v>This dataset can be accessed on The Cancer Imaging Archive (TCIA) under the collection name “FDG-PET-CT-Lesions”12.</v>
      </c>
      <c r="G8" s="192" t="s">
        <v>398</v>
      </c>
      <c r="H8" s="28" t="s">
        <v>7</v>
      </c>
      <c r="I8" s="28" t="s">
        <v>42</v>
      </c>
      <c r="J8" s="28" t="s">
        <v>50</v>
      </c>
      <c r="K8" s="39" t="s">
        <v>269</v>
      </c>
      <c r="L8" s="52"/>
    </row>
    <row r="9" spans="1:12" ht="365" x14ac:dyDescent="0.2">
      <c r="A9" s="156"/>
      <c r="B9" s="38" t="s">
        <v>82</v>
      </c>
      <c r="C9" s="30" t="s">
        <v>81</v>
      </c>
      <c r="D9" s="47" t="str">
        <f>"License: "&amp; '[2]Results-low'!G19 &amp; CHAR(10) &amp; CHAR(10)
&amp; "Thid-parties in-charge: "&amp; '[2]Results-low'!G24 &amp; CHAR(10) &amp; CHAR(10)
&amp; "Attribution notice: "&amp; '[2]Results-low'!G23 &amp; CHAR(10) &amp; CHAR(10)
&amp; "Data Stand-alone:" &amp; '[2]Results-low'!G21  &amp; CHAR(10) &amp; CHAR(10) &amp; "Model trained with the data:" &amp; '[2]Results-low'!G22</f>
        <v>License:  No.
Thid-parties in-charge:  The dataset is available on The Cancer Imaging Archive (TCIA) under the collection name “FDG-PET-CT-Lesions”12. The license and distribution terms of the dataset are available on the TCIA website.
Attribution notice:  No, the dataset is publicly available on The Cancer Imaging Archive (TCIA) under the collection name “FDG-PET-CT-Lesions” and does not require a license or distribution from third parties.
Data Stand-alone: The trained PET/CT lesion segmentation model is publicly available under https://github.com/labmidas/autoPET/tree/master/.
Model trained with the data: Yes, the authors provide an acknowledgement that should be used when using the dataset. It is: "This project was partly supported by intramural grants of Stanford University and the University of Tübingen. This project was conducted under Germany’s Excellence Strategy–EXC-Number 2064/1–390727645 and EXC 2180/1-390900677."</v>
      </c>
      <c r="E9" s="47" t="str">
        <f>"License: "&amp; '[2]Results-low'!I19 &amp; CHAR(10) &amp; CHAR(10)
&amp; "Thid-parties in-charge: "&amp; '[2]Results-low'!I24 &amp; CHAR(10) &amp; CHAR(10)
&amp; "Attribution notice: "&amp; '[2]Results-low'!I23 &amp; CHAR(10) &amp; CHAR(10)
&amp; "Data Stand-alone:" &amp; '[2]Results-low'!I21  &amp; CHAR(10) &amp; CHAR(10) &amp; "Model trained with the data:" &amp; '[2]Results-low'!I22</f>
        <v>License: No, it wasn't provided.
Thid-parties in-charge: No, it wasn't specified.
Attribution notice: No, it wasn't specified.
Data Stand-alone:No, it wasn't provided.
Model trained with the data:No, it wasn't specified.</v>
      </c>
      <c r="F9" s="47" t="str">
        <f>"License: "&amp; '[2]Results-low'!J19 &amp; CHAR(10) &amp; CHAR(10)
&amp; "Thid-parties in-charge: "&amp; '[2]Results-low'!J24 &amp; CHAR(10) &amp; CHAR(10)
&amp; "Attribution notice: "&amp; '[2]Results-low'!J23 &amp; CHAR(10) &amp; CHAR(10)
&amp; "Data Stand-alone:" &amp; '[2]Results-low'!J21  &amp; CHAR(10) &amp; CHAR(10) &amp; "Model trained with the data:" &amp; '[2]Results-low'!J22</f>
        <v>License: CC-BY-NC-ND 4.0
Thid-parties in-charge: No
Attribution notice: no
Data Stand-alone:publicly available under https://github.com/labmidas/autoPET/tree/master/
Model trained with the data:No</v>
      </c>
      <c r="G9" s="193" t="s">
        <v>399</v>
      </c>
      <c r="H9" s="32" t="s">
        <v>50</v>
      </c>
      <c r="I9" s="32" t="s">
        <v>43</v>
      </c>
      <c r="J9" s="32" t="s">
        <v>42</v>
      </c>
      <c r="K9" s="37" t="s">
        <v>96</v>
      </c>
    </row>
    <row r="10" spans="1:12" ht="32" x14ac:dyDescent="0.2">
      <c r="A10" s="156"/>
      <c r="B10" s="48" t="s">
        <v>33</v>
      </c>
      <c r="C10" s="49" t="s">
        <v>80</v>
      </c>
      <c r="D10" s="53" t="s">
        <v>111</v>
      </c>
      <c r="E10" s="53" t="s">
        <v>111</v>
      </c>
      <c r="F10" s="53" t="s">
        <v>111</v>
      </c>
      <c r="G10" s="193" t="s">
        <v>400</v>
      </c>
      <c r="H10" s="28" t="s">
        <v>50</v>
      </c>
      <c r="I10" s="28" t="s">
        <v>50</v>
      </c>
      <c r="J10" s="28" t="s">
        <v>50</v>
      </c>
      <c r="K10" s="37" t="s">
        <v>96</v>
      </c>
    </row>
    <row r="11" spans="1:12" ht="272" x14ac:dyDescent="0.2">
      <c r="A11" s="159" t="s">
        <v>112</v>
      </c>
      <c r="B11" s="50" t="s">
        <v>76</v>
      </c>
      <c r="C11" s="51" t="s">
        <v>75</v>
      </c>
      <c r="D11" s="47" t="str">
        <f>"Files:" &amp;'[2]Results-low'!G27 &amp; CHAR(10) &amp; CHAR(10) &amp; "Attributes:" &amp; '[2]Results-low'!G28</f>
        <v>Files: The dataset is composed of DICOM files of the PET volume, the CT volume and the segmentation mask, as well as NIfTI files of the PET volume (PET.nii.gz), the CT volume (CT.nii.gz) and the segmentation mask (SEG.nii.gz), NIfTI volumes of the PET image in SUV units (SUV.nii.gz) and a CT volume resample to the PET resolution and shape (CTres.nii.gz). In addition, a metadata file in Comma-separated Values (csv) format is provided containing information on study class, patient age and patient sex.
Attributes: The dataset contains imaging data, patient age (in years), patient sex, patient body weight, injected activity, whether CT was contrast-enhanced, primary diagnosis, and non-imaging information.</v>
      </c>
      <c r="E11" s="47" t="str">
        <f>"Files:" &amp;'[2]Results-low'!I27 &amp; CHAR(10) &amp; CHAR(10) &amp; "Attributes:" &amp; '[2]Results-low'!I28</f>
        <v>Files:The dataset is composed of two types of files - DICOM images and Nifti files. A DICOM image is a standard medical image format used for storing and sharing scans from medical imaging devices like CT and PET scanners. It stores the raw scan data along with associated meta-data such as patient details, scan parameters etc. A NIFTI file is another type of medical image format which is commonly used for storing and sharing brain scans. It is a compressed version of the original DICOM image and is typically much smaller than the uncompressed DICOM image.
Attributes:The dataset contains patients’ demographic information including age, gender, and body mass index; images of the whole-body CT scan, whole-body FDG-PET scan, and corresponding segmentation mask; and quantitative evaluation results such as Dice coefficient, false positives, and false negatives.</v>
      </c>
      <c r="F11" s="47" t="str">
        <f>"Files:" &amp;'[2]Results-low'!J27 &amp; CHAR(10) &amp; CHAR(10) &amp; "Attributes:" &amp; '[2]Results-low'!J28</f>
        <v>Files:DICOM data: Each study folder contains three subfolders with DICOM files of the PET volume, the CT volume and the segmentation mask.
Attributes:Metadata: In addition to imaging data, a metadata file in Comma-separated Values (csv format is provided containing information on study class (lung cancer, melanoma, lymphoma or negative), patient age (in years) and patient sex. In addition, the DICOM header data include information about patient body weight, injected activity and whether CT was contrast-enhanced (in case of non-enhanced CT, the CT series description includes the key word “nativ”).</v>
      </c>
      <c r="G11" s="193" t="s">
        <v>401</v>
      </c>
      <c r="H11" s="32" t="s">
        <v>34</v>
      </c>
      <c r="I11" s="32" t="s">
        <v>34</v>
      </c>
      <c r="J11" s="32" t="s">
        <v>50</v>
      </c>
      <c r="K11" s="37" t="s">
        <v>96</v>
      </c>
    </row>
    <row r="12" spans="1:12" ht="32" x14ac:dyDescent="0.2">
      <c r="A12" s="159"/>
      <c r="B12" s="50" t="s">
        <v>74</v>
      </c>
      <c r="C12" s="51" t="s">
        <v>73</v>
      </c>
      <c r="D12" s="47" t="str">
        <f>'[2]Results-low'!G31</f>
        <v xml:space="preserve"> No, the paper does not mention any recommended data split of the dataset.</v>
      </c>
      <c r="E12" s="47" t="str">
        <f>'[2]Results-low'!I31</f>
        <v xml:space="preserve"> Yes, the paper recommends splitting the dataset into train, validation and test sets with a ratio of 6:2:2.</v>
      </c>
      <c r="F12" s="47" t="str">
        <f>'[2]Results-low'!J31</f>
        <v>Not mentioned</v>
      </c>
      <c r="G12" s="193" t="s">
        <v>345</v>
      </c>
      <c r="H12" s="32" t="s">
        <v>34</v>
      </c>
      <c r="I12" s="32" t="s">
        <v>7</v>
      </c>
      <c r="J12" s="32" t="s">
        <v>34</v>
      </c>
      <c r="K12" s="37" t="s">
        <v>96</v>
      </c>
    </row>
    <row r="13" spans="1:12" ht="170" x14ac:dyDescent="0.2">
      <c r="A13" s="159"/>
      <c r="B13" s="27" t="s">
        <v>72</v>
      </c>
      <c r="C13" s="23" t="s">
        <v>71</v>
      </c>
      <c r="D13" s="47" t="str">
        <f xml:space="preserve"> '[2]Results-low'!G30</f>
        <v xml:space="preserve"> No, there is no explicit consistency rule for the data.</v>
      </c>
      <c r="E13" s="47" t="str">
        <f xml:space="preserve"> '[2]Results-low'!I30</f>
        <v xml:space="preserve"> Yes, the data follows certain standards regarding its formatting and organization which ensure consistent behavior when working with it. These standards are outlined in the "Data Structure" section above.</v>
      </c>
      <c r="F13" s="47" t="str">
        <f xml:space="preserve"> '[2]Results-low'!J30</f>
        <v>No</v>
      </c>
      <c r="G13" s="193" t="s">
        <v>402</v>
      </c>
      <c r="H13" s="28" t="s">
        <v>34</v>
      </c>
      <c r="I13" s="28" t="s">
        <v>42</v>
      </c>
      <c r="J13" s="28" t="s">
        <v>34</v>
      </c>
      <c r="K13" s="37"/>
    </row>
    <row r="14" spans="1:12" ht="198" customHeight="1" x14ac:dyDescent="0.2">
      <c r="A14" s="161" t="s">
        <v>113</v>
      </c>
      <c r="B14" s="48" t="s">
        <v>44</v>
      </c>
      <c r="C14" s="49" t="s">
        <v>69</v>
      </c>
      <c r="D14" s="47" t="str">
        <f>'[2]Results-low'!G33</f>
        <v xml:space="preserve"> The dataset consists of 1014 whole body Fluorodeoxyglucose (FDG)-PET/CT datasets acquired between 2014 and 2018 on a single, state-of-the-art PET/CT scanner. The imaging protocol consisted of a whole-body FDG-PET acquisition and a corresponding diagnostic CT scan. Primary diagnosis, age and sex are provided as non-imaging information. The data was anonymized upon data upload to The Cancer Imaging Archive using the CTP DICOM anonymizer tool.</v>
      </c>
      <c r="E14" s="47" t="str">
        <f>'[2]Results-low'!I33</f>
        <v>The data was collected through a retrospective study involving 1014 whole-body FDG-PET/CT datasets of patients with malignant lymphoma, melanoma and non small cell lung cancer (NSCLC), as well as 513 studies without PET-positive malignant lesions (negative controls).</v>
      </c>
      <c r="F14" s="47" t="str">
        <f>'[2]Results-low'!J33</f>
        <v>The data presented in this manuscript is part of the MICCAI autoPET challenge 2022</v>
      </c>
      <c r="G14" s="194" t="s">
        <v>403</v>
      </c>
      <c r="H14" s="28" t="s">
        <v>50</v>
      </c>
      <c r="I14" s="28" t="s">
        <v>34</v>
      </c>
      <c r="J14" s="28" t="s">
        <v>42</v>
      </c>
      <c r="K14" s="87" t="s">
        <v>96</v>
      </c>
    </row>
    <row r="15" spans="1:12" ht="256" x14ac:dyDescent="0.2">
      <c r="A15" s="156"/>
      <c r="B15" s="48" t="s">
        <v>56</v>
      </c>
      <c r="C15" s="49" t="s">
        <v>68</v>
      </c>
      <c r="D15" s="47" t="str">
        <f>'[2]Results-low'!G34</f>
        <v xml:space="preserve"> Secondary data analysis</v>
      </c>
      <c r="E15" s="47" t="str">
        <f>'[2]Results-low'!I34</f>
        <v xml:space="preserve"> Others</v>
      </c>
      <c r="F15" s="47" t="str">
        <f>'[2]Results-low'!J34</f>
        <v>Manual Human Curator</v>
      </c>
      <c r="G15" s="195" t="s">
        <v>404</v>
      </c>
      <c r="H15" s="28" t="s">
        <v>50</v>
      </c>
      <c r="I15" s="28" t="s">
        <v>43</v>
      </c>
      <c r="J15" s="28" t="s">
        <v>34</v>
      </c>
      <c r="K15" s="35" t="s">
        <v>96</v>
      </c>
    </row>
    <row r="16" spans="1:12" ht="267" customHeight="1" x14ac:dyDescent="0.2">
      <c r="A16" s="156"/>
      <c r="B16" s="48" t="s">
        <v>67</v>
      </c>
      <c r="C16" s="49" t="s">
        <v>66</v>
      </c>
      <c r="D16" s="47" t="str">
        <f>'[2]Results-low'!G44 &amp; CHAR(10) &amp; CHAR(10) &amp; "Type: "&amp;  '[2]Results-low'!G45 &amp; CHAR(10) &amp; CHAR(10) &amp; "Demographics: " &amp;  '[2]Results-low'!G46</f>
        <v xml:space="preserve"> S.G., D.R., T.K., T.H., K.N., C.L.F., M.F., C.P., B.S., C.C.
Type:  An internal team.
Demographics:  No, the provided context does not include any demographic information of an internal team.</v>
      </c>
      <c r="E16" s="47" t="str">
        <f>'[2]Results-low'!I44 &amp; CHAR(10) &amp; CHAR(10) &amp; "Type: "&amp;  '[2]Results-low'!I45 &amp; CHAR(10) &amp; CHAR(10) &amp; "Demographics: " &amp;  '[2]Results-low'!I46</f>
        <v>No, there are no demographic information associated with the data.
Type: The data acquisition process involved several steps including obtaining informed consent from participants, performing preclinical testing, collecting relevant demographic information, conducting the actual experiment, and completing post-experiment procedures. Additionally, certain criteria must be fulfilled before data can be deemed suitable for analysis such as ensuring the safety of participants, adherence to protocols, and accuracy of data recording.
Demographics: The data was annotated or labelled by a radiologist and nuclear medicine specialist in a clinical setting based on the report of their clinical assessment. They segmented FDG-avid tumour lesions (primary tumours if present and metastases if present) using dedicated software and an experienced radiologist with 10 years of experience in hybrid imaging. Uncertainty regarding lesion definition was resolved through consensus reviews with the radiologist and nuclear medicine physician preparing the initial clinical report.</v>
      </c>
      <c r="F16" s="47" t="str">
        <f>'[2]Results-low'!J44 &amp; CHAR(10) &amp; CHAR(10) &amp; "Type: "&amp;  '[2]Results-low'!J45 &amp; CHAR(10) &amp; CHAR(10) &amp; "Demographics: " &amp;  '[2]Results-low'!J46</f>
        <v>S.G., D.R., T.K., T.H.: conception and design of the work, acquisition, analysis and interpretation of data, creation of new software used in the work, drafting of the manuscript. K.N., C.L.F., M.F., C.P., B.S., C.C.: discussion and interpretation of results, substantial revision of the manuscript. All authors reviewed the manuscript.
Type: an internal team
Demographics: No</v>
      </c>
      <c r="G16" s="192" t="s">
        <v>405</v>
      </c>
      <c r="H16" s="32" t="s">
        <v>34</v>
      </c>
      <c r="I16" s="32" t="s">
        <v>43</v>
      </c>
      <c r="J16" s="32" t="s">
        <v>34</v>
      </c>
      <c r="K16" s="35" t="s">
        <v>96</v>
      </c>
    </row>
    <row r="17" spans="1:11" ht="187" x14ac:dyDescent="0.2">
      <c r="A17" s="156"/>
      <c r="B17" s="48" t="s">
        <v>65</v>
      </c>
      <c r="C17" s="49" t="s">
        <v>64</v>
      </c>
      <c r="D17" s="54" t="str">
        <f>'[2]Results-low'!G39</f>
        <v xml:space="preserve"> No</v>
      </c>
      <c r="E17" s="54" t="str">
        <f>'[2]Results-low'!I39</f>
        <v xml:space="preserve"> The dataset used for the MICCAI autoPET challenge 2022 is called "MICCAI AutoPET Challenge 2022 Dataset".</v>
      </c>
      <c r="F17" s="54" t="str">
        <f>'[2]Results-low'!J39</f>
        <v>No</v>
      </c>
      <c r="G17" s="195" t="s">
        <v>406</v>
      </c>
      <c r="H17" s="28" t="s">
        <v>34</v>
      </c>
      <c r="I17" s="28" t="s">
        <v>42</v>
      </c>
      <c r="J17" s="28" t="s">
        <v>34</v>
      </c>
      <c r="K17" s="35" t="s">
        <v>96</v>
      </c>
    </row>
    <row r="18" spans="1:11" ht="303" customHeight="1" x14ac:dyDescent="0.2">
      <c r="A18" s="156"/>
      <c r="B18" s="48" t="s">
        <v>62</v>
      </c>
      <c r="C18" s="49" t="s">
        <v>61</v>
      </c>
      <c r="D18" s="47" t="str">
        <f>'[2]Results-low'!G41 &amp; CHAR(10) &amp; CHAR(10) &amp;  '[2]Results-low'!G40 &amp; CHAR(10) &amp; CHAR(10) &amp; "Noise: " &amp;  '[2]Results-low'!G42 &amp; CHAR(10) &amp; CHAR(10) &amp; "Link: " &amp; '[2]Results-low'!G43</f>
        <v xml:space="preserve"> The data source is the prospective registry study conducted at the Medical Faculty of the University of Tübingen.
 The data has been collected from a prospective registry study conducted at the Medical Faculty of the University of Tübingen. The study included 1,014 whole-body FDG-PET/CT examinations of 900 patients acquired between 2014 and 2018.
Noise:  It is possible that there is noise or potential bias in the data source, as with any study. However, without further information it is not possible to determine if this is the case.
Link:  No, without further information it is not possible to determine if there is a link to access the data source.</v>
      </c>
      <c r="E18" s="47" t="str">
        <f>'[2]Results-low'!I41 &amp; CHAR(10) &amp; CHAR(10) &amp;  '[2]Results-low'!I40 &amp; CHAR(10) &amp; CHAR(10) &amp; "Noise: " &amp;  '[2]Results-low'!I42 &amp; CHAR(10) &amp; CHAR(10) &amp; "Link: " &amp; '[2]Results-low'!I43</f>
        <v xml:space="preserve"> Yes, the data source can be accessed through a web-based interface or via an API.
No, there are no known issues with the data source and it has been widely used in previous studies.
Noise: The dataset was collected by a team of researchers led by Stephan Götzinger, David Rueckert, Tobias Kohlmann, Thomas Hackl and Karsten Niemann.
Link: The data was collected by an internal team.</v>
      </c>
      <c r="F18" s="47" t="str">
        <f>'[2]Results-low'!J41 &amp; CHAR(10) &amp; CHAR(10) &amp;  '[2]Results-low'!J40 &amp; CHAR(10) &amp; CHAR(10) &amp; "Noise: " &amp;  '[2]Results-low'!J42 &amp; CHAR(10) &amp; CHAR(10) &amp; "Link: " &amp; '[2]Results-low'!J43</f>
        <v>MICCAI autoPET challenge 2022
not provided
Noise: I don't know
Link: not provided</v>
      </c>
      <c r="G18" s="195" t="s">
        <v>407</v>
      </c>
      <c r="H18" s="32" t="s">
        <v>34</v>
      </c>
      <c r="I18" s="32" t="s">
        <v>43</v>
      </c>
      <c r="J18" s="32" t="s">
        <v>42</v>
      </c>
      <c r="K18" s="35" t="s">
        <v>96</v>
      </c>
    </row>
    <row r="19" spans="1:11" ht="96" x14ac:dyDescent="0.2">
      <c r="A19" s="157"/>
      <c r="B19" s="48" t="s">
        <v>60</v>
      </c>
      <c r="C19" s="49" t="s">
        <v>59</v>
      </c>
      <c r="D19" s="47" t="str">
        <f>'[2]Results-low'!G35 &amp; CHAR(10) &amp; CHAR(10) &amp; '[2]Results-low'!G37</f>
        <v xml:space="preserve"> 2014-2018
 Not provided</v>
      </c>
      <c r="E19" s="47" t="str">
        <f>'[2]Results-low'!I35 &amp; CHAR(10) &amp; CHAR(10) &amp; '[2]Results-low'!I37</f>
        <v xml:space="preserve"> The data was collected between January 1 and December 31 of last year. There was no specific time frame designated for data collection.
No, the data does not represent nor consist of any natural language.</v>
      </c>
      <c r="F19" s="47" t="str">
        <f>'[2]Results-low'!J35 &amp; CHAR(10) &amp; CHAR(10) &amp; '[2]Results-low'!J37</f>
        <v>between 2014 and 2018
The Cancer Imaging Archive (TCIA)</v>
      </c>
      <c r="G19" s="195" t="s">
        <v>408</v>
      </c>
      <c r="H19" s="28" t="s">
        <v>43</v>
      </c>
      <c r="I19" s="28" t="s">
        <v>42</v>
      </c>
      <c r="J19" s="28" t="s">
        <v>34</v>
      </c>
      <c r="K19" s="35"/>
    </row>
    <row r="20" spans="1:11" ht="202" customHeight="1" x14ac:dyDescent="0.2">
      <c r="A20" s="158" t="s">
        <v>114</v>
      </c>
      <c r="B20" s="50" t="s">
        <v>44</v>
      </c>
      <c r="C20" s="51" t="s">
        <v>57</v>
      </c>
      <c r="D20" s="47" t="str">
        <f>'[2]Results-low'!G48</f>
        <v xml:space="preserve"> The data was annotated by an experienced radiologist (S.G., 10 years of experience in hybrid imaging) using dedicated software (NORA image analysis platform, University of Freiburg, Germany). In case of uncertainty regarding lesion definition, the specific PET/CT studies were reviewed in consensus with the radiologist and nuclear medicine physician who prepared the initial clinical report. To this end CT and corresponding PET volumes were displayed side by side or as an overlay and tumor lesions showing elevated FDG-uptake (visually above blood-pool levels) were segmented in a slice-per-slice manner resulting in 3D binary segmentation masks.</v>
      </c>
      <c r="E20" s="47" t="str">
        <f>'[2]Results-low'!I48</f>
        <v>The dataset has been labelled for lung cancer, melanoma, lymphoma and negative cases.</v>
      </c>
      <c r="F20" s="47" t="str">
        <f>'[2]Results-low'!J48</f>
        <v>All examinations were assessed by a radiologist and nuclear medicine specialist in a clinical setting. Based on the report of this clinical assessment, all FDG-avid tumor lesions (primary tumor if present and metastases if present) were segmented by an experienced radiologist (S.G., 10 years of experience in hybrid imaging) using dedicated software (NORA image analysis platform, University of Freiburg, Germany). In case of uncertainty regarding lesion definition, the specific PET/CT studies were reviewed in consensus with the radiologist and nuclear medicine physician who prepared the initial clinical</v>
      </c>
      <c r="G20" s="195" t="s">
        <v>409</v>
      </c>
      <c r="H20" s="32" t="s">
        <v>50</v>
      </c>
      <c r="I20" s="32" t="s">
        <v>42</v>
      </c>
      <c r="J20" s="32" t="s">
        <v>50</v>
      </c>
      <c r="K20" s="35"/>
    </row>
    <row r="21" spans="1:11" ht="1" customHeight="1" x14ac:dyDescent="0.2">
      <c r="A21" s="159"/>
      <c r="B21" s="50" t="s">
        <v>56</v>
      </c>
      <c r="C21" s="51" t="s">
        <v>55</v>
      </c>
      <c r="D21" s="47" t="str">
        <f>'[2]Results-low'!G49</f>
        <v xml:space="preserve"> Polygonal segmentation</v>
      </c>
      <c r="E21" s="47" t="str">
        <f>'[2]Results-low'!I49</f>
        <v>The data annotation process was performed by an experienced radiologist (S.G.) and a nuclear medicine physician (T.K.).</v>
      </c>
      <c r="F21" s="47" t="str">
        <f>'[2]Results-low'!J49</f>
        <v>Polygonal segmentation</v>
      </c>
      <c r="G21" s="196"/>
      <c r="H21" s="28"/>
      <c r="I21" s="28"/>
      <c r="J21" s="28"/>
      <c r="K21" s="26" t="s">
        <v>96</v>
      </c>
    </row>
    <row r="22" spans="1:11" ht="31" customHeight="1" x14ac:dyDescent="0.2">
      <c r="A22" s="159"/>
      <c r="B22" s="50" t="s">
        <v>207</v>
      </c>
      <c r="C22" s="51"/>
      <c r="D22" s="47" t="s">
        <v>264</v>
      </c>
      <c r="E22" s="47"/>
      <c r="F22" s="47" t="s">
        <v>265</v>
      </c>
      <c r="G22" s="196"/>
      <c r="H22" s="28"/>
      <c r="I22" s="28"/>
      <c r="J22" s="28"/>
      <c r="K22" s="26" t="s">
        <v>96</v>
      </c>
    </row>
    <row r="23" spans="1:11" ht="75" customHeight="1" x14ac:dyDescent="0.2">
      <c r="A23" s="159"/>
      <c r="B23" s="50" t="s">
        <v>54</v>
      </c>
      <c r="C23" s="51" t="s">
        <v>53</v>
      </c>
      <c r="D23" s="47" t="s">
        <v>263</v>
      </c>
      <c r="E23" s="47"/>
      <c r="F23" s="47"/>
      <c r="G23" s="196"/>
      <c r="H23" s="25"/>
      <c r="I23" s="25"/>
      <c r="J23" s="25"/>
      <c r="K23" s="26"/>
    </row>
    <row r="24" spans="1:11" ht="112" customHeight="1" x14ac:dyDescent="0.2">
      <c r="A24" s="159"/>
      <c r="B24" s="50" t="s">
        <v>52</v>
      </c>
      <c r="C24" s="51" t="s">
        <v>51</v>
      </c>
      <c r="D24" s="47" t="str">
        <f>'[2]Results-low'!G51 &amp; CHAR(10) &amp; CHAR(10) &amp; "Type:" &amp;'[2]Results-low'!G52 &amp; CHAR(10) &amp; CHAR(10) &amp; "Demographics:" &amp;'[2]Results-low'!G53</f>
        <v xml:space="preserve"> An experienced radiologist (S.G., 10 years of experience in hybrid imaging) has annotated the data.
Type: An internal team.
Demographics: No, there is no demographic information about the team who annotated the data.</v>
      </c>
      <c r="E24" s="47" t="str">
        <f>'[2]Results-low'!I51 &amp; CHAR(10) &amp; CHAR(10) &amp; "Type:" &amp;'[2]Results-low'!I52 &amp; CHAR(10) &amp; CHAR(10) &amp; "Demographics:" &amp;'[2]Results-low'!I53</f>
        <v xml:space="preserve"> Yes, the team consists of four members - two research scientists, a senior research assistant and a postdoctoral fellow. They all have expertise in computer vision, machine learning and medical image processing.
Type: A radiologist and nuclear medicine specialist manually annotated the dataset using dedicated software (NORA image analysis platform, University of Freiburg, Germany).
Demographics:The dataset has been validated through five-fold cross-validation and leave-one-out testing. Additionally</v>
      </c>
      <c r="F24" s="47" t="str">
        <f>'[2]Results-low'!J51 &amp; CHAR(10) &amp; CHAR(10) &amp; "Type:" &amp;'[2]Results-low'!J52 &amp; CHAR(10) &amp; CHAR(10) &amp; "Demographics:" &amp;'[2]Results-low'!J53</f>
        <v>All examinations were assessed by a radiologist and nuclear medicine specialist in a clinical setting. Based on the report of this clinical assessment, all FDG-avid tumor lesions (primary tumor if present and metastases if present) were segmented by an experienced radiologist (S.G., 10 years of experience in hybrid imaging) using dedicated software (NORA image analysis platform, University of Freiburg, Germany).
Type:an internal team
Demographics:No</v>
      </c>
      <c r="G24" s="196"/>
      <c r="H24" s="28"/>
      <c r="I24" s="28"/>
      <c r="J24" s="28"/>
      <c r="K24" s="33" t="s">
        <v>96</v>
      </c>
    </row>
    <row r="25" spans="1:11" ht="73" customHeight="1" x14ac:dyDescent="0.2">
      <c r="A25" s="159"/>
      <c r="B25" s="50" t="s">
        <v>49</v>
      </c>
      <c r="C25" s="51" t="s">
        <v>48</v>
      </c>
      <c r="D25" s="47" t="str">
        <f>'[2]Results-low'!G54</f>
        <v xml:space="preserve"> The dataset has been annotated using the NORA image analysis platform, University of Freiburg, Germany.</v>
      </c>
      <c r="E25" s="47">
        <f>'[2]Results-low'!I54</f>
        <v>0</v>
      </c>
      <c r="F25" s="47" t="str">
        <f>'[2]Results-low'!J54</f>
        <v>NORA</v>
      </c>
      <c r="G25" s="196" t="s">
        <v>410</v>
      </c>
      <c r="H25" s="32" t="s">
        <v>34</v>
      </c>
      <c r="I25" s="32" t="s">
        <v>42</v>
      </c>
      <c r="J25" s="32" t="s">
        <v>34</v>
      </c>
      <c r="K25" s="26"/>
    </row>
    <row r="26" spans="1:11" ht="115" customHeight="1" x14ac:dyDescent="0.2">
      <c r="A26" s="159"/>
      <c r="B26" s="50" t="s">
        <v>46</v>
      </c>
      <c r="C26" s="50" t="s">
        <v>45</v>
      </c>
      <c r="D26" s="47" t="str">
        <f>'[2]Results-low'!G55</f>
        <v xml:space="preserve"> The dataset has been validated using three metrics: Dice score, false positive volume and false negative volume.</v>
      </c>
      <c r="E26" s="47" t="str">
        <f>'[2]Results-low'!I55</f>
        <v>Yes</v>
      </c>
      <c r="F26" s="47" t="str">
        <f>'[2]Results-low'!J55</f>
        <v>5-fold cross validation</v>
      </c>
      <c r="G26" s="196" t="s">
        <v>411</v>
      </c>
      <c r="H26" s="28" t="s">
        <v>43</v>
      </c>
      <c r="I26" s="28" t="s">
        <v>42</v>
      </c>
      <c r="J26" s="28" t="s">
        <v>42</v>
      </c>
      <c r="K26" s="26" t="s">
        <v>96</v>
      </c>
    </row>
    <row r="27" spans="1:11" ht="80" customHeight="1" x14ac:dyDescent="0.2">
      <c r="A27" s="154" t="s">
        <v>115</v>
      </c>
      <c r="B27" s="55" t="s">
        <v>40</v>
      </c>
      <c r="C27" s="51" t="s">
        <v>39</v>
      </c>
      <c r="D27" s="47" t="str">
        <f>'[2]Results-low'!G81</f>
        <v xml:space="preserve"> No, the dataset does not contain any social group information, so it is not possible to determine if any social group is misrepresented.</v>
      </c>
      <c r="E27" s="47">
        <f>'[2]Results-low'!I81</f>
        <v>0</v>
      </c>
      <c r="F27" s="47" t="str">
        <f>'[2]Results-low'!J81</f>
        <v>The selection criteria for positive samples were: age &gt;18 years, histologically confirmed diagnosis of lung cancer, lymphoma or malignant melanoma, and presence of at least one FDG-avid tumor lesion according to the final clinical report.</v>
      </c>
      <c r="G27" s="196" t="s">
        <v>412</v>
      </c>
      <c r="H27" s="28" t="s">
        <v>34</v>
      </c>
      <c r="I27" s="28" t="s">
        <v>42</v>
      </c>
      <c r="J27" s="28" t="s">
        <v>34</v>
      </c>
      <c r="K27" s="26"/>
    </row>
    <row r="28" spans="1:11" ht="100" customHeight="1" x14ac:dyDescent="0.2">
      <c r="A28" s="154"/>
      <c r="B28" s="27" t="s">
        <v>38</v>
      </c>
      <c r="C28" s="23" t="s">
        <v>37</v>
      </c>
      <c r="D28" s="47" t="str">
        <f xml:space="preserve"> '[2]Results-low'!G82 &amp; CHAR(10) &amp; CHAR(10)  &amp; "Sensitivity: " &amp; '[2]Results-low'!G83</f>
        <v xml:space="preserve"> No, the dataset is balanced with respect to the three included tumor entities. The three included tumor entities showed similar distributions with respect to metabolic tumor volume (MTV), mean SUV of tumor lesions and total lesion glycolysis (TLG).
Sensitivity:  No, the dataset does not contain any sensitive data or data that can be offensive for people.</v>
      </c>
      <c r="E28" s="47" t="str">
        <f xml:space="preserve"> '[2]Results-low'!I82 &amp; CHAR(10) &amp; CHAR(10)  &amp; "Sensitivity: " &amp; '[2]Results-low'!I83</f>
        <v xml:space="preserve">
Sensitivity: </v>
      </c>
      <c r="F28" s="47" t="str">
        <f xml:space="preserve"> '[2]Results-low'!J82 &amp; CHAR(10) &amp; CHAR(10)  &amp; "Sensitivity: " &amp; '[2]Results-low'!J83</f>
        <v>Of the 501 positive studies, 168 were acquired in patients with lung cancer, 145 in patients with lymphoma and 188 in patients with melanoma.
Sensitivity: xx xx xxxx</v>
      </c>
      <c r="G28" s="196" t="s">
        <v>345</v>
      </c>
      <c r="H28" s="25" t="s">
        <v>34</v>
      </c>
      <c r="I28" s="25" t="s">
        <v>42</v>
      </c>
      <c r="J28" s="25"/>
      <c r="K28" s="22" t="s">
        <v>96</v>
      </c>
    </row>
    <row r="29" spans="1:11" ht="64" x14ac:dyDescent="0.2">
      <c r="A29" s="154"/>
      <c r="B29" s="27" t="s">
        <v>36</v>
      </c>
      <c r="C29" s="23" t="s">
        <v>35</v>
      </c>
      <c r="D29" s="47" t="str">
        <f>'[2]Results-low'!G84</f>
        <v xml:space="preserve"> The publication of anonymized data was approved by the institutional ethics committee of the Medical Faculty of the University of Tübingen as well as the institutional data security and privacy review board.</v>
      </c>
      <c r="E29" s="47">
        <f>'[2]Results-low'!I84</f>
        <v>0</v>
      </c>
      <c r="F29" s="47" t="str">
        <f>'[2]Results-low'!J84</f>
        <v>Publication of anonymized data was approved by the institutional ethics committee of the Medical Faculty of the University of Tübingen as well as the institutional data security and privacy review board.</v>
      </c>
      <c r="G29" s="196" t="s">
        <v>345</v>
      </c>
      <c r="H29" s="21" t="s">
        <v>50</v>
      </c>
      <c r="I29" s="21" t="s">
        <v>42</v>
      </c>
      <c r="J29" s="21" t="s">
        <v>50</v>
      </c>
      <c r="K29" s="22" t="s">
        <v>96</v>
      </c>
    </row>
    <row r="30" spans="1:11" ht="29" customHeight="1" x14ac:dyDescent="0.2">
      <c r="G30" s="197" t="s">
        <v>413</v>
      </c>
      <c r="J30" s="176" t="s">
        <v>334</v>
      </c>
      <c r="K30" s="177">
        <v>60.71</v>
      </c>
    </row>
  </sheetData>
  <mergeCells count="7">
    <mergeCell ref="A27:A29"/>
    <mergeCell ref="A2:A4"/>
    <mergeCell ref="A5:A7"/>
    <mergeCell ref="A8:A10"/>
    <mergeCell ref="A11:A13"/>
    <mergeCell ref="A14:A19"/>
    <mergeCell ref="A20:A26"/>
  </mergeCells>
  <conditionalFormatting sqref="L8 H2:J29">
    <cfRule type="containsText" dxfId="99" priority="1" operator="containsText" text="Fair">
      <formula>NOT(ISERROR(SEARCH("Fair",H2)))</formula>
    </cfRule>
    <cfRule type="containsText" dxfId="98" priority="2" operator="containsText" text="Bad">
      <formula>NOT(ISERROR(SEARCH("Bad",H2)))</formula>
    </cfRule>
    <cfRule type="containsText" dxfId="97" priority="3" stopIfTrue="1" operator="containsText" text="Good">
      <formula>NOT(ISERROR(SEARCH("Good",H2)))</formula>
    </cfRule>
    <cfRule type="containsText" dxfId="96" priority="4" operator="containsText" text="Hallucinate">
      <formula>NOT(ISERROR(SEARCH("Hallucinate",H2)))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735C4-32EB-DC46-A2E8-DF000269381B}">
  <dimension ref="A1:K30"/>
  <sheetViews>
    <sheetView topLeftCell="E1" zoomScaleNormal="100" workbookViewId="0">
      <selection activeCell="F2" sqref="F2"/>
    </sheetView>
  </sheetViews>
  <sheetFormatPr baseColWidth="10" defaultRowHeight="16" x14ac:dyDescent="0.2"/>
  <cols>
    <col min="1" max="1" width="27.33203125" style="19" customWidth="1"/>
    <col min="2" max="2" width="37.5" style="18" customWidth="1"/>
    <col min="3" max="3" width="34" style="18" customWidth="1"/>
    <col min="4" max="5" width="57.1640625" style="19" customWidth="1"/>
    <col min="6" max="6" width="53" style="1" customWidth="1"/>
    <col min="7" max="7" width="33.6640625" style="17" customWidth="1"/>
    <col min="8" max="8" width="33.6640625" style="17" hidden="1" customWidth="1"/>
    <col min="9" max="9" width="33.6640625" style="17" customWidth="1"/>
    <col min="10" max="10" width="37.33203125" style="17" customWidth="1"/>
    <col min="11" max="16384" width="10.83203125" style="17"/>
  </cols>
  <sheetData>
    <row r="1" spans="1:10" s="19" customFormat="1" ht="33" customHeight="1" thickBot="1" x14ac:dyDescent="0.25">
      <c r="A1" s="44" t="s">
        <v>9</v>
      </c>
      <c r="B1" s="44" t="s">
        <v>105</v>
      </c>
      <c r="C1" s="44" t="s">
        <v>104</v>
      </c>
      <c r="D1" s="42" t="s">
        <v>270</v>
      </c>
      <c r="E1" s="42" t="s">
        <v>107</v>
      </c>
      <c r="F1" s="88" t="s">
        <v>117</v>
      </c>
      <c r="G1" s="43" t="s">
        <v>101</v>
      </c>
      <c r="H1" s="43" t="s">
        <v>21</v>
      </c>
      <c r="I1" s="43" t="s">
        <v>118</v>
      </c>
      <c r="J1" s="43" t="s">
        <v>266</v>
      </c>
    </row>
    <row r="2" spans="1:10" s="19" customFormat="1" ht="260" customHeight="1" thickTop="1" thickBot="1" x14ac:dyDescent="0.25">
      <c r="A2" s="149" t="s">
        <v>99</v>
      </c>
      <c r="B2" s="38" t="s">
        <v>98</v>
      </c>
      <c r="C2" s="30" t="s">
        <v>97</v>
      </c>
      <c r="D2" s="20" t="str">
        <f>"Purposes: "&amp; '[3]Results-low'!F2&amp;CHAR(10)&amp;CHAR(10)&amp;"Gaps: "&amp;'[3]Results-low'!F5 &amp;CHAR(10)&amp;CHAR(10)&amp;"Tasks: "&amp;'[3]Results-low'!F3 &amp;CHAR(10)&amp;CHAR(10)&amp;"Tags: "&amp;'[3]Results-low'!F4</f>
        <v>Purposes:  The purpose of the dataset is to fill the emotion recognition gap for Quechua speakers and to open the opportunity for new studies by providing a speech corpus of Quechua Collao for automatic emotion recognition and evaluating its usefulness using machine learning techniques and deep neural networks.
Gaps:  The dataset intends to fill the emotion recognition gap for Quechua speakers and open the opportunity for new studies.
Tasks:  automatic-speech-recognition, speech-processing, sentiment-analysis
Tags:  Quechua, speech emotion recognition, corpus, machine learning, neural networks, valence, arousal, dominance, Cronbach alpha coefficients, CCC scores, GeMAPS, MLP, LSTM, CNN.</v>
      </c>
      <c r="E2" s="20" t="str">
        <f>"Purposes: "&amp; '[3]Results-low'!H2&amp;CHAR(10)&amp;CHAR(10)&amp;"Gaps: "&amp;'[3]Results-low'!H5 &amp;CHAR(10)&amp;CHAR(10)&amp;"Tasks: "&amp;'[3]Results-low'!H3 &amp;CHAR(10)&amp;CHAR(10)&amp;"Tags: "&amp;'[3]Results-low'!H4</f>
        <v>Purposes: to fill this gap by creating a speech corpus of Quechua Collao for automatic emotion recognition, evaluating its usefulness using machine learning techniques and deep neural networks, and making it publicly available
Gaps: emotion recognition gap for Quechua speakers
Tasks: automatic-speech-recognition
Tags: arousal, dominance, valence</v>
      </c>
      <c r="F2" s="14" t="s">
        <v>414</v>
      </c>
      <c r="G2" s="41" t="s">
        <v>50</v>
      </c>
      <c r="H2" s="41" t="s">
        <v>43</v>
      </c>
      <c r="I2" s="41" t="s">
        <v>50</v>
      </c>
      <c r="J2" s="40" t="s">
        <v>96</v>
      </c>
    </row>
    <row r="3" spans="1:10" s="19" customFormat="1" ht="160" customHeight="1" thickTop="1" thickBot="1" x14ac:dyDescent="0.25">
      <c r="A3" s="150"/>
      <c r="B3" s="31" t="s">
        <v>95</v>
      </c>
      <c r="C3" s="30" t="s">
        <v>94</v>
      </c>
      <c r="D3" s="20" t="str">
        <f>'[3]Results-low'!F7&amp;CHAR(10)&amp;CHAR(10)&amp;'[3]Results-low'!F8</f>
        <v xml:space="preserve"> The Quechua Collao corpus38 is recommended for applications related to speech emotion recognition.
 No.</v>
      </c>
      <c r="E3" s="20" t="str">
        <f>'[3]Results-low'!H7&amp;CHAR(10)&amp;CHAR(10)&amp;'[3]Results-low'!H8</f>
        <v>SER
no</v>
      </c>
      <c r="F3" s="14" t="s">
        <v>415</v>
      </c>
      <c r="G3" s="28" t="s">
        <v>34</v>
      </c>
      <c r="H3" s="41" t="s">
        <v>43</v>
      </c>
      <c r="I3" s="28" t="s">
        <v>42</v>
      </c>
      <c r="J3" s="39" t="s">
        <v>96</v>
      </c>
    </row>
    <row r="4" spans="1:10" s="19" customFormat="1" ht="133" customHeight="1" thickTop="1" thickBot="1" x14ac:dyDescent="0.25">
      <c r="A4" s="150"/>
      <c r="B4" s="31" t="s">
        <v>93</v>
      </c>
      <c r="C4" s="30" t="s">
        <v>92</v>
      </c>
      <c r="D4" s="20" t="str">
        <f>'[3]Results-low'!F9 &amp; CHAR(10) &amp; CHAR(10) &amp; '[3]Results-low'!F10</f>
        <v xml:space="preserve"> The models used to test the dataset are Support Vector Regression (SVR), K-neighbors Regression (KNR), Random Forest Regression (RFR), Multilayer Perceptron (MLP), Long Short-Term Memory (LSTM) network, and Convolutional Neural Network (CNN).
 The F1, Accuracy, and other metrics extracted with the model are not provided in the context.</v>
      </c>
      <c r="E4" s="20" t="str">
        <f>'[3]Results-low'!H9 &amp; CHAR(10) &amp; CHAR(10) &amp; '[3]Results-low'!H10</f>
        <v>Support Vector Regression (SVR), K-neighbors Regression (KNR), and Random Forest Regression (RFR)
RFR has the best mean on the CCC scores for each dimension, and arousal and dominance have higher CCC scores than valence</v>
      </c>
      <c r="F4" s="14" t="s">
        <v>416</v>
      </c>
      <c r="G4" s="32" t="s">
        <v>34</v>
      </c>
      <c r="H4" s="41" t="s">
        <v>43</v>
      </c>
      <c r="I4" s="32" t="s">
        <v>34</v>
      </c>
      <c r="J4" s="40"/>
    </row>
    <row r="5" spans="1:10" s="19" customFormat="1" ht="70" thickTop="1" thickBot="1" x14ac:dyDescent="0.25">
      <c r="A5" s="151" t="s">
        <v>91</v>
      </c>
      <c r="B5" s="24" t="s">
        <v>90</v>
      </c>
      <c r="C5" s="23" t="s">
        <v>89</v>
      </c>
      <c r="D5" s="20" t="str">
        <f>'[3]Results-low'!F11</f>
        <v xml:space="preserve"> Rosa Y. G. Paccotacya-Yanque, Candy A. Huanca-Anquise, Judith Escalante-Calcina, Wilber R. Ramos-Lovón, Álvaro E. Cuno-Parari</v>
      </c>
      <c r="E5" s="20" t="str">
        <f>'[3]Results-low'!H11</f>
        <v>Rosa Y. G. Paccotacya-Yanque , Candy A. Huanca-Anquise, Judith Escalante-Calcina, Wilber R. Ramos-Lovón &amp; lvaro E. Cuno-Parari</v>
      </c>
      <c r="F5" s="14" t="s">
        <v>417</v>
      </c>
      <c r="G5" s="32" t="s">
        <v>50</v>
      </c>
      <c r="H5" s="41" t="s">
        <v>43</v>
      </c>
      <c r="I5" s="32" t="s">
        <v>50</v>
      </c>
      <c r="J5" s="40" t="s">
        <v>96</v>
      </c>
    </row>
    <row r="6" spans="1:10" s="19" customFormat="1" ht="155" thickTop="1" thickBot="1" x14ac:dyDescent="0.25">
      <c r="A6" s="152"/>
      <c r="B6" s="24" t="s">
        <v>29</v>
      </c>
      <c r="C6" s="23" t="s">
        <v>88</v>
      </c>
      <c r="D6" s="20" t="str">
        <f>'[3]Results-low'!F12 &amp; CHAR(10) &amp; CHAR(10) &amp; "Type:" &amp; '[3]Results-low'!F13  &amp; CHAR(10) &amp; CHAR(10) &amp; "Grants ID:" &amp; '[3]Results-low'!F14</f>
        <v>Proyecto Concytec - Banco Mundial, Mejoramiento y Ampliación de los Servicios del Sistema Nacional de Ciencia, Tecnología e Innovación Tecnológica
Type:public
Grants ID: N° 014-2019-FONDECYT-BM-INC.INV.</v>
      </c>
      <c r="E6" s="20" t="str">
        <f>'[3]Results-low'!H12 &amp; CHAR(10) &amp; CHAR(10) &amp; "Type:" &amp; '[3]Results-low'!H13  &amp; CHAR(10) &amp; CHAR(10) &amp; "Grants ID:" &amp; '[3]Results-low'!H14</f>
        <v>Proyecto Concytec - Banco Mundial, Mejoramiento y Ampliación de los Servicios del Sistema Nacional de Ciencia, Tecnología e Innovación Tecnológica
Type:public
Grants ID: N° 014-2019-FONDECYT-BM-INC.INV.</v>
      </c>
      <c r="F6" s="14" t="s">
        <v>418</v>
      </c>
      <c r="G6" s="28" t="s">
        <v>50</v>
      </c>
      <c r="H6" s="41" t="s">
        <v>43</v>
      </c>
      <c r="I6" s="28" t="s">
        <v>50</v>
      </c>
      <c r="J6" s="40" t="s">
        <v>96</v>
      </c>
    </row>
    <row r="7" spans="1:10" s="19" customFormat="1" ht="302" customHeight="1" thickTop="1" thickBot="1" x14ac:dyDescent="0.25">
      <c r="A7" s="152"/>
      <c r="B7" s="24" t="s">
        <v>87</v>
      </c>
      <c r="C7" s="23" t="s">
        <v>86</v>
      </c>
      <c r="D7" s="20" t="str">
        <f>'[3]Results-low'!F15 &amp; CHAR(10) &amp; CHAR(10) &amp; "Contribution guidelines:" &amp; '[3]Results-low'!F16  &amp; CHAR(10) &amp; CHAR(10) &amp; "Erratum:" &amp; '[3]Results-low'!F17&amp; CHAR(10) &amp; CHAR(10) &amp; "Data Retention:" &amp; '[3]Results-low'!F18</f>
        <v xml:space="preserve"> The maintainers of the dataset are Rosa Y. G. Paccotacya-Yanque, Candy A. Huanca-Anquise, Judith Escalante-Calcina, Wilber R. Ramos-Lovón, and Álvaro E. Cuno-Parari.
Contribution guidelines: No.
Erratum: No.
Data Retention: No.</v>
      </c>
      <c r="E7" s="20" t="str">
        <f>'[3]Results-low'!H15 &amp; CHAR(10) &amp; CHAR(10) &amp; "Contribution guidelines:" &amp; '[3]Results-low'!H16  &amp; CHAR(10) &amp; CHAR(10) &amp; "Erratum:" &amp; '[3]Results-low'!H17&amp; CHAR(10) &amp; CHAR(10) &amp; "Data Retention:" &amp; '[3]Results-low'!H18</f>
        <v>Rosa Y. G. Paccotacya-Yanque , Candy A. Huanca-Anquise, Judith Escalante-Calcina, Wilber R. Ramos-Lovón &amp; lvaro E. Cuno-Parari
Contribution guidelines:The recordings provide prototypical insights for studying emotions but they cannot fully represent the emotional expressions of all Quechua speakers that are observed in real life.
Erratum:no
Data Retention:No</v>
      </c>
      <c r="F7" s="14" t="s">
        <v>419</v>
      </c>
      <c r="G7" s="32" t="s">
        <v>50</v>
      </c>
      <c r="H7" s="41" t="s">
        <v>43</v>
      </c>
      <c r="I7" s="32" t="s">
        <v>34</v>
      </c>
      <c r="J7" s="39" t="s">
        <v>96</v>
      </c>
    </row>
    <row r="8" spans="1:10" s="19" customFormat="1" ht="53" thickTop="1" thickBot="1" x14ac:dyDescent="0.25">
      <c r="A8" s="153" t="s">
        <v>85</v>
      </c>
      <c r="B8" s="31" t="s">
        <v>31</v>
      </c>
      <c r="C8" s="30" t="s">
        <v>83</v>
      </c>
      <c r="D8" s="20" t="str">
        <f>'[3]Results-low'!F19</f>
        <v xml:space="preserve"> Yes, the link to the repository containing the data is https://github.com/qccData/qccCorpus.</v>
      </c>
      <c r="E8" s="20" t="str">
        <f>'[3]Results-low'!H19</f>
        <v>Yes</v>
      </c>
      <c r="F8" s="14" t="s">
        <v>420</v>
      </c>
      <c r="G8" s="28" t="s">
        <v>34</v>
      </c>
      <c r="H8" s="41" t="s">
        <v>43</v>
      </c>
      <c r="I8" s="28" t="s">
        <v>43</v>
      </c>
      <c r="J8" s="39" t="s">
        <v>96</v>
      </c>
    </row>
    <row r="9" spans="1:10" s="19" customFormat="1" ht="274" thickTop="1" thickBot="1" x14ac:dyDescent="0.25">
      <c r="A9" s="150"/>
      <c r="B9" s="56" t="s">
        <v>82</v>
      </c>
      <c r="C9" s="57" t="s">
        <v>81</v>
      </c>
      <c r="D9" s="20" t="str">
        <f>"License: "&amp; '[3]Results-low'!F20 &amp; CHAR(10) &amp; CHAR(10)
&amp; "Thid-parties in-charge: "&amp; '[3]Results-low'!G24 &amp; CHAR(10) &amp; CHAR(10)
&amp; "Attribution notice: "&amp; '[3]Results-low'!G23 &amp; CHAR(10) &amp; CHAR(10)
&amp; "Data Stand-alone:" &amp; '[3]Results-low'!G21  &amp; CHAR(10) &amp; CHAR(10) &amp; "Model trained with the data:" &amp; '[3]Results-low'!G22</f>
        <v>License:  No.
Thid-parties in-charge:  Yes, the authors of the dataset are Rosa Y. G. Paccotacya-Yanque, Candy A. Huanca-Anquise, Judith Escalante-Calcina, Wilber R. Ramos-Lovón, and Álvaro E. Cuno-Parari.
Attribution notice:  The rights of the models trained with this data are not specified in the context.
Data Stand-alone: I don't know.
Model trained with the data: The stand-alone dataset is publicly available and can be downloaded as a zip file. It is available at Figshare38 and the code and data splits for baseline algorithms are available at Github, in https://github.com/qccData/qccCorpus. All participants involved in the study provided written informed consent and their voices are shared anonymously.</v>
      </c>
      <c r="E9" s="20" t="str">
        <f>"License: "&amp; '[3]Results-low'!H20 &amp; CHAR(10) &amp; CHAR(10)
&amp; "Thid-parties in-charge: "&amp; '[3]Results-low'!I24 &amp; CHAR(10) &amp; CHAR(10)
&amp; "Attribution notice: "&amp; '[3]Results-low'!I23 &amp; CHAR(10) &amp; CHAR(10)
&amp; "Data Stand-alone:" &amp; '[3]Results-low'!I21  &amp; CHAR(10) &amp; CHAR(10) &amp; "Model trained with the data:" &amp; '[3]Results-low'!I22</f>
        <v xml:space="preserve">License: CC-BY-NC-ND
Thid-parties in-charge: To the original authors and the publisher
Attribution notice: Not specified, but it's understood that follow CCA 4.0 
Data Stand-alone:Creative Commons Attribution 4.0 International
License
Model trained with the data:Not specified, but it's understood that follow CCA 4.0 </v>
      </c>
      <c r="F9" s="14" t="s">
        <v>421</v>
      </c>
      <c r="G9" s="32" t="s">
        <v>34</v>
      </c>
      <c r="H9" s="41" t="s">
        <v>43</v>
      </c>
      <c r="I9" s="32" t="s">
        <v>34</v>
      </c>
      <c r="J9" s="37" t="s">
        <v>96</v>
      </c>
    </row>
    <row r="10" spans="1:10" s="19" customFormat="1" ht="34" thickTop="1" thickBot="1" x14ac:dyDescent="0.25">
      <c r="A10" s="150"/>
      <c r="B10" s="31" t="s">
        <v>33</v>
      </c>
      <c r="C10" s="30" t="s">
        <v>80</v>
      </c>
      <c r="D10" s="29" t="str">
        <f>'[3]Results-low'!F25</f>
        <v xml:space="preserve"> No, there is no deprecation plan or policy of the dataset.</v>
      </c>
      <c r="E10" s="29" t="str">
        <f>'[3]Results-low'!H25</f>
        <v>No</v>
      </c>
      <c r="F10" s="89" t="s">
        <v>345</v>
      </c>
      <c r="G10" s="28" t="s">
        <v>50</v>
      </c>
      <c r="H10" s="41" t="s">
        <v>43</v>
      </c>
      <c r="I10" s="28" t="s">
        <v>50</v>
      </c>
      <c r="J10" s="37" t="s">
        <v>96</v>
      </c>
    </row>
    <row r="11" spans="1:10" s="19" customFormat="1" ht="409.6" thickTop="1" thickBot="1" x14ac:dyDescent="0.25">
      <c r="A11" s="152" t="s">
        <v>77</v>
      </c>
      <c r="B11" s="24" t="s">
        <v>76</v>
      </c>
      <c r="C11" s="23" t="s">
        <v>75</v>
      </c>
      <c r="D11" s="20" t="str">
        <f>"Files:" &amp;'[3]Results-low'!F27 &amp; CHAR(10) &amp; CHAR(10) &amp; "Attributes:" &amp; '[3]Results-low'!F28</f>
        <v>Files: The dataset is composed of four directories: Audios, Data, Labels, and Script. The Audios folder contains all audio segments in WAV format, each audio is randomly named by numbers ranging from 10001 to 22420. The Data folder contains a file named Data.csv, which contains detailed information of each audio. The Labels folder contains the annotations for each audio segment, and the Valence.csv, Arousal.csv, and Dominance.csv files, which contain the labels for the emotional dimensions of valence, arousal, and dominance respectively. The Labels.csv file contains the general average of each emotional dimension. Finally, the Script folder contains Script.xlsx, which is the script used for the corpus38 creation.
Attributes: The corpus38 can be downloaded as a zip file that contains 4 directories. All audio segments in WAV format are found in the Audios folder; each audio is randomly named by numbers ranging from 10001 to 22420. Detailed information of each audio is found in a file inside the Data folder, in a file named Data.csv. This file is made up of five columns. The annotations for each audio segment are found in the Labels folder, and the emotional dimensions of valence are found in the Valence.csv file, which is made up of 5 columns. The values for the emotional dimension of arousal and the emotional dimension of dominance are found in the files Arousal.csv and Dominance.csv, respectively, and have the same structure as the Valence.csv file. The general average of each emotional dimension is found in the Labels.csv file, also within the Labels folder. Finally, the Script folder contains Script.xlsx, which is the script used for the corpus38 creation.</v>
      </c>
      <c r="E11" s="20" t="str">
        <f>"Files:" &amp;'[3]Results-low'!H27 &amp; CHAR(10) &amp; CHAR(10) &amp; "Attributes:" &amp; '[3]Results-low'!H28</f>
        <v>Files:All audio segments in WAV format are found in the Audios folder; each audio is randomly named by numbers ranging from 10001 to 22420.
Attributes:The annotations for each audio segment are found in the Labels folder, and the emotional dimensions of valence are found in the Valence.csv file, which is made up of 5 columns: the first contains the name of the audio segment, and the other four store the label made by each annotator. For example, the second column contains the labels made by annotator 1, represented by the code N1. The values for the emotional dimension of arousal and the emotional dimension of dominance are found in the files Arousal.csv and Dominance.csv,</v>
      </c>
      <c r="F11" s="14" t="s">
        <v>422</v>
      </c>
      <c r="G11" s="32" t="s">
        <v>50</v>
      </c>
      <c r="H11" s="41" t="s">
        <v>43</v>
      </c>
      <c r="I11" s="32" t="s">
        <v>34</v>
      </c>
      <c r="J11" s="37" t="s">
        <v>96</v>
      </c>
    </row>
    <row r="12" spans="1:10" s="19" customFormat="1" ht="53" thickTop="1" thickBot="1" x14ac:dyDescent="0.25">
      <c r="A12" s="152"/>
      <c r="B12" s="24" t="s">
        <v>74</v>
      </c>
      <c r="C12" s="23" t="s">
        <v>73</v>
      </c>
      <c r="D12" s="20" t="str">
        <f>'[3]Results-low'!F32</f>
        <v xml:space="preserve"> Yes, the paper mentions that the data was split into three sets: 60% for training, 20% for validation, and 20% for testing.</v>
      </c>
      <c r="E12" s="20" t="str">
        <f>'[3]Results-low'!H32</f>
        <v>60% for training, 20% for validation, and 20% for testing</v>
      </c>
      <c r="F12" s="14" t="s">
        <v>423</v>
      </c>
      <c r="G12" s="32" t="s">
        <v>50</v>
      </c>
      <c r="H12" s="41" t="s">
        <v>43</v>
      </c>
      <c r="I12" s="32" t="s">
        <v>50</v>
      </c>
      <c r="J12" s="37" t="s">
        <v>96</v>
      </c>
    </row>
    <row r="13" spans="1:10" s="19" customFormat="1" ht="146" thickTop="1" thickBot="1" x14ac:dyDescent="0.25">
      <c r="A13" s="152"/>
      <c r="B13" s="27" t="s">
        <v>72</v>
      </c>
      <c r="C13" s="23" t="s">
        <v>71</v>
      </c>
      <c r="D13" s="20" t="str">
        <f>'[3]Results-low'!F31 &amp;  CHAR(10) &amp; CHAR(10) &amp; '[3]Results-low'!F30</f>
        <v xml:space="preserve"> No, the data does not have any explicit consistency rule.
 Yes, there are histograms for each dimensional attribute in the Quechua Collao corpus (Fig. 3) and Cronbach's alpha coefficients (Table 3).</v>
      </c>
      <c r="E13" s="20" t="str">
        <f>'[3]Results-low'!H31 &amp;  CHAR(10) &amp; CHAR(10) &amp; '[3]Results-low'!H30</f>
        <v>No
The machine learning (ML) methods used are Support Vector Regression (SVR), K-neighbors Regression (KNR), and Random Forest Regression (RFR). They were implemented using Scikit-Learn40. The neural network models used are Multilayer Perceptron (MLP), Long Short-Term Memory (LSTM) network, and Convolutional Neural Network (CNN), whose implementation details can be found in Atmaja and Akagi’s work41. The hyperparameters were adjusted to the Quechua Collao corpus38 for each</v>
      </c>
      <c r="F13" s="14" t="s">
        <v>424</v>
      </c>
      <c r="G13" s="28" t="s">
        <v>50</v>
      </c>
      <c r="H13" s="41" t="s">
        <v>43</v>
      </c>
      <c r="I13" s="28" t="s">
        <v>42</v>
      </c>
      <c r="J13" s="37"/>
    </row>
    <row r="14" spans="1:10" s="19" customFormat="1" ht="191" customHeight="1" thickTop="1" thickBot="1" x14ac:dyDescent="0.25">
      <c r="A14" s="153" t="s">
        <v>70</v>
      </c>
      <c r="B14" s="31" t="s">
        <v>44</v>
      </c>
      <c r="C14" s="30" t="s">
        <v>69</v>
      </c>
      <c r="D14" s="20" t="str">
        <f>'[3]Results-low'!F34</f>
        <v xml:space="preserve"> The Quechua Collao corpus38 contains 15 h 15 min of audio divided into 12420 segments of audio. The audio segments are in WAV format and are found in the Audios folder. Each audio is randomly named by numbers ranging from 10001 to 22420. The recordings were performed in a controlled environment with only six mid-age speakers acting established emotions.</v>
      </c>
      <c r="E14" s="20" t="str">
        <f>'[3]Results-low'!H34</f>
        <v>The recording sessions were performed with semi-professional microphones and at semi noiseless spaces at the School of Computer Science - UNSA. The actors were mostly mid-age native Quechua speakers that were paid to record. The whole script (2070 instances) was planned to be recorded by each actor of a group of three women and three men in order to have balanced data in terms of gender. However, an actress (Actress 5) could not finish due to unexpected situations, so her work was completed by another actress (Actress 7). Table 1 shows information related to actors.</v>
      </c>
      <c r="F14" s="14" t="s">
        <v>425</v>
      </c>
      <c r="G14" s="28" t="s">
        <v>50</v>
      </c>
      <c r="H14" s="41" t="s">
        <v>43</v>
      </c>
      <c r="I14" s="28" t="s">
        <v>50</v>
      </c>
      <c r="J14" s="87" t="s">
        <v>96</v>
      </c>
    </row>
    <row r="15" spans="1:10" s="19" customFormat="1" ht="124" customHeight="1" thickTop="1" thickBot="1" x14ac:dyDescent="0.25">
      <c r="A15" s="150"/>
      <c r="B15" s="31" t="s">
        <v>56</v>
      </c>
      <c r="C15" s="30" t="s">
        <v>68</v>
      </c>
      <c r="D15" s="20" t="str">
        <f>'[3]Results-low'!F35</f>
        <v xml:space="preserve"> Audio or video recordings</v>
      </c>
      <c r="E15" s="20" t="str">
        <f>'[3]Results-low'!H35</f>
        <v>Interviews</v>
      </c>
      <c r="F15" s="14" t="s">
        <v>426</v>
      </c>
      <c r="G15" s="28" t="s">
        <v>50</v>
      </c>
      <c r="H15" s="41" t="s">
        <v>43</v>
      </c>
      <c r="I15" s="28" t="s">
        <v>34</v>
      </c>
      <c r="J15" s="35" t="s">
        <v>96</v>
      </c>
    </row>
    <row r="16" spans="1:10" s="19" customFormat="1" ht="146" thickTop="1" thickBot="1" x14ac:dyDescent="0.25">
      <c r="A16" s="150"/>
      <c r="B16" s="31" t="s">
        <v>67</v>
      </c>
      <c r="C16" s="30" t="s">
        <v>66</v>
      </c>
      <c r="D16" s="20" t="str">
        <f>'[3]Results-low'!F45 &amp; CHAR(10) &amp; CHAR(10) &amp; "Type: "&amp;  '[3]Results-low'!F46 &amp; CHAR(10) &amp; CHAR(10) &amp; "Demographics: " &amp;  '[3]Results-low'!F47</f>
        <v xml:space="preserve"> The team who collected the data was composed of two men and two women who were employed and paid to annotate the audio labels. They were Quechua Collao native speakers and Quechua instructors, ages ranging from 27 to 46.
Type:  An internal team.
Demographics:  No, there is no demographic information of an internal team.</v>
      </c>
      <c r="E16" s="20" t="str">
        <f>'[3]Results-low'!H45 &amp; CHAR(10) &amp; CHAR(10) &amp; "Type: "&amp;  '[3]Results-low'!H46 &amp; CHAR(10) &amp; CHAR(10) &amp; "Demographics: " &amp;  '[3]Results-low'!H47</f>
        <v>The actors were mostly mid-age native Quechua speakers that were paid to record.
Type: an internal team
Demographics: No</v>
      </c>
      <c r="F16" s="14" t="s">
        <v>427</v>
      </c>
      <c r="G16" s="32" t="s">
        <v>50</v>
      </c>
      <c r="H16" s="41" t="s">
        <v>43</v>
      </c>
      <c r="I16" s="32" t="s">
        <v>34</v>
      </c>
      <c r="J16" s="35" t="s">
        <v>96</v>
      </c>
    </row>
    <row r="17" spans="1:11" s="19" customFormat="1" ht="138" thickTop="1" thickBot="1" x14ac:dyDescent="0.25">
      <c r="A17" s="150"/>
      <c r="B17" s="31" t="s">
        <v>65</v>
      </c>
      <c r="C17" s="30" t="s">
        <v>64</v>
      </c>
      <c r="D17" s="29" t="str">
        <f>'[3]Results-low'!F40</f>
        <v xml:space="preserve"> No</v>
      </c>
      <c r="E17" s="29" t="str">
        <f>'[3]Results-low'!H40</f>
        <v>No</v>
      </c>
      <c r="F17" s="89" t="s">
        <v>428</v>
      </c>
      <c r="G17" s="28" t="s">
        <v>42</v>
      </c>
      <c r="H17" s="41" t="s">
        <v>43</v>
      </c>
      <c r="I17" s="28" t="s">
        <v>42</v>
      </c>
      <c r="J17" s="35" t="s">
        <v>96</v>
      </c>
    </row>
    <row r="18" spans="1:11" s="19" customFormat="1" ht="178" thickTop="1" thickBot="1" x14ac:dyDescent="0.25">
      <c r="A18" s="150"/>
      <c r="B18" s="31" t="s">
        <v>62</v>
      </c>
      <c r="C18" s="30" t="s">
        <v>61</v>
      </c>
      <c r="D18" s="20" t="str">
        <f>'[3]Results-low'!F41 &amp; CHAR(10) &amp; CHAR(10) &amp;  '[3]Results-low'!F42 &amp; CHAR(10) &amp; CHAR(10) &amp; "Noise: " &amp;  '[3]Results-low'!F43 &amp; CHAR(10) &amp; CHAR(10) &amp; "Link: " &amp; '[3]Results-low'!F44</f>
        <v xml:space="preserve"> The data has been collected from the Quechua Collao corpus38. It is a publicly available corpus containing 15 h 15 min of audio divided into 12420 segments of audio. It was collected from six mid-age native Quechua speakers who were paid to record.
 The data source mentioned in the context is the Quechua Collao corpus.
Noise:  I don't know.
Link:  I don't know.</v>
      </c>
      <c r="E18" s="20" t="str">
        <f>'[3]Results-low'!H41 &amp; CHAR(10) &amp; CHAR(10) &amp;  '[3]Results-low'!H42 &amp; CHAR(10) &amp; CHAR(10) &amp; "Noise: " &amp;  '[3]Results-low'!H43 &amp; CHAR(10) &amp; CHAR(10) &amp; "Link: " &amp; '[3]Results-low'!H44</f>
        <v>The corpus is publicly available at Figshare38.
The recording sessions were performed with semi-professional microphones and at semi noiseless spaces at the School of Computer Science - UNSA.
the School of Computer Science - UNSA
Noise: I don't know
Link: not provided</v>
      </c>
      <c r="F18" s="14" t="s">
        <v>429</v>
      </c>
      <c r="G18" s="32" t="s">
        <v>7</v>
      </c>
      <c r="H18" s="41" t="s">
        <v>43</v>
      </c>
      <c r="I18" s="32" t="s">
        <v>34</v>
      </c>
      <c r="J18" s="35" t="s">
        <v>271</v>
      </c>
      <c r="K18" s="19" t="s">
        <v>96</v>
      </c>
    </row>
    <row r="19" spans="1:11" s="19" customFormat="1" ht="82" thickTop="1" thickBot="1" x14ac:dyDescent="0.25">
      <c r="A19" s="150"/>
      <c r="B19" s="31" t="s">
        <v>60</v>
      </c>
      <c r="C19" s="30" t="s">
        <v>59</v>
      </c>
      <c r="D19" s="20" t="str">
        <f>'[3]Results-low'!F36 &amp; CHAR(10) &amp; CHAR(10) &amp; '[3]Results-low'!F38</f>
        <v xml:space="preserve"> Not provided
 Not provided</v>
      </c>
      <c r="E19" s="20" t="str">
        <f>'[3]Results-low'!H36 &amp; CHAR(10) &amp; CHAR(10) &amp; '[3]Results-low'!H38</f>
        <v>1 August 2022
The recording sessions were performed with semi-professional microphones and at semi noiseless spaces at the School of Computer Science - UNSA.</v>
      </c>
      <c r="F19" s="14" t="s">
        <v>430</v>
      </c>
      <c r="G19" s="28" t="s">
        <v>34</v>
      </c>
      <c r="H19" s="41" t="s">
        <v>43</v>
      </c>
      <c r="I19" s="28" t="s">
        <v>42</v>
      </c>
      <c r="J19" s="35"/>
    </row>
    <row r="20" spans="1:11" s="19" customFormat="1" ht="173" customHeight="1" thickTop="1" thickBot="1" x14ac:dyDescent="0.25">
      <c r="A20" s="151" t="s">
        <v>58</v>
      </c>
      <c r="B20" s="24" t="s">
        <v>44</v>
      </c>
      <c r="C20" s="23" t="s">
        <v>57</v>
      </c>
      <c r="D20" s="20" t="str">
        <f>'[3]Results-low'!F49</f>
        <v xml:space="preserve"> The data of the Quechua Collao corpus was annotated by four Quechua Collao native speakers and Quechua instructors, two men and two women, ages ranging from 27 to 46. The annotations were done using a sheet for each annotator, where they had to write the valence, arousal, and dominance values for each audio, using a scale of 1 to 5. Visual aid was provided using self-assessment manikins (SAMs). The reliability of the labels between annotators was calculated using Cronbach alpha coefficients.</v>
      </c>
      <c r="E20" s="20" t="str">
        <f>'[3]Results-low'!H49</f>
        <v>Each annotator labeled the 12420 audios over a 4-week period by assigning valence, arousal, and dominance values.</v>
      </c>
      <c r="F20" s="14" t="s">
        <v>431</v>
      </c>
      <c r="G20" s="32" t="s">
        <v>34</v>
      </c>
      <c r="H20" s="41" t="s">
        <v>43</v>
      </c>
      <c r="I20" s="32" t="s">
        <v>34</v>
      </c>
      <c r="J20" s="35"/>
    </row>
    <row r="21" spans="1:11" s="19" customFormat="1" ht="57" customHeight="1" thickTop="1" thickBot="1" x14ac:dyDescent="0.25">
      <c r="A21" s="152"/>
      <c r="B21" s="24" t="s">
        <v>56</v>
      </c>
      <c r="C21" s="23" t="s">
        <v>55</v>
      </c>
      <c r="D21" s="20" t="str">
        <f>'[3]Results-low'!F50</f>
        <v xml:space="preserve"> Entity annotation</v>
      </c>
      <c r="E21" s="20" t="str">
        <f>'[3]Results-low'!H50</f>
        <v>Image and video annotations</v>
      </c>
      <c r="F21" s="14" t="s">
        <v>432</v>
      </c>
      <c r="G21" s="28" t="s">
        <v>34</v>
      </c>
      <c r="H21" s="41" t="s">
        <v>43</v>
      </c>
      <c r="I21" s="28" t="s">
        <v>42</v>
      </c>
      <c r="J21" s="26" t="s">
        <v>96</v>
      </c>
    </row>
    <row r="22" spans="1:11" s="19" customFormat="1" ht="44" customHeight="1" thickTop="1" thickBot="1" x14ac:dyDescent="0.25">
      <c r="A22" s="152"/>
      <c r="B22" s="24" t="s">
        <v>54</v>
      </c>
      <c r="C22" s="23" t="s">
        <v>53</v>
      </c>
      <c r="D22" s="20" t="str">
        <f>'[3]Results-low'!F51</f>
        <v xml:space="preserve">
The labels of the dataset are valence, arousal, and dominance. Valence is a measure of the emotional positivity or negativity of an audio segment, with 1 being the most negative and 5 being the most positive. Arousal is a measure of the intensity of the emotion, with 1 being the most calm and 5 being the most excited. Dominance is a measure of the power of the emotion, with 1 being the most submissive and 5 being the most dominant.</v>
      </c>
      <c r="E22" s="20" t="str">
        <f>'[3]Results-low'!H51</f>
        <v>Valence.csv, Arousal.csv, Dominance.csv</v>
      </c>
      <c r="F22" s="198" t="s">
        <v>433</v>
      </c>
      <c r="G22" s="25" t="s">
        <v>50</v>
      </c>
      <c r="H22" s="41" t="s">
        <v>43</v>
      </c>
      <c r="I22" s="25" t="s">
        <v>43</v>
      </c>
      <c r="J22" s="26" t="s">
        <v>96</v>
      </c>
    </row>
    <row r="23" spans="1:11" s="19" customFormat="1" ht="166" customHeight="1" thickTop="1" thickBot="1" x14ac:dyDescent="0.25">
      <c r="A23" s="152"/>
      <c r="B23" s="24" t="s">
        <v>52</v>
      </c>
      <c r="C23" s="23" t="s">
        <v>51</v>
      </c>
      <c r="D23" s="20" t="str">
        <f>'[3]Results-low'!F52 &amp; CHAR(10) &amp; CHAR(10) &amp; "Type:" &amp;'[3]Results-low'!F53 &amp; CHAR(10) &amp; CHAR(10) &amp; "Demographics:" &amp;'[3]Results-low'!F54</f>
        <v xml:space="preserve"> The data was annotated by two men and two women who are Quechua Collao native speakers and Quechua instructors, ages ranging from 27 to 46.
Type: An internal team. Two men and two women were employed and paid to annotate the audio labels. They are Quechua Collao native speakers and Quechua instructors, ages ranging from 27 to 46.
Demographics: Yes, there is demographic information about the team who annotated the data. Two men and two women were employed and paid to annotate the audio labels. They are Quechua Collao native speakers and Quechua instructors, ages ranging from 27 to 46. Table 1 in the context provides more details about the team.</v>
      </c>
      <c r="E23" s="20" t="str">
        <f>'[3]Results-low'!H52 &amp; CHAR(10) &amp; CHAR(10) &amp; "Type:" &amp;'[3]Results-low'!H53 &amp; CHAR(10) &amp; CHAR(10) &amp; "Demographics:" &amp;'[3]Results-low'!H54</f>
        <v>Two men and two women
Type:an internal team
Demographics:They are Quechua Collao native speakers and Quechua instructors, ages ranging from 27 to 46</v>
      </c>
      <c r="F23" s="14" t="s">
        <v>434</v>
      </c>
      <c r="G23" s="28" t="s">
        <v>50</v>
      </c>
      <c r="H23" s="41" t="s">
        <v>43</v>
      </c>
      <c r="I23" s="28" t="s">
        <v>50</v>
      </c>
      <c r="J23" s="26"/>
    </row>
    <row r="24" spans="1:11" s="19" customFormat="1" ht="123" customHeight="1" thickTop="1" thickBot="1" x14ac:dyDescent="0.25">
      <c r="A24" s="152"/>
      <c r="B24" s="24" t="s">
        <v>49</v>
      </c>
      <c r="C24" s="23" t="s">
        <v>48</v>
      </c>
      <c r="D24" s="20" t="str">
        <f>'[3]Results-low'!F55</f>
        <v xml:space="preserve"> The annotation process was performed using a sheet for each annotator, where they had to write the valence, arousal, and dominance values for each audio. A scale of 1 to 5 was used, and visual aid was provided using self-assessment manikins (SAMs).</v>
      </c>
      <c r="E24" s="20" t="str">
        <f>'[3]Results-low'!H55</f>
        <v>a sheet for each annotator</v>
      </c>
      <c r="F24" s="14" t="s">
        <v>435</v>
      </c>
      <c r="G24" s="32" t="s">
        <v>50</v>
      </c>
      <c r="H24" s="41" t="s">
        <v>43</v>
      </c>
      <c r="I24" s="32" t="s">
        <v>34</v>
      </c>
      <c r="J24" s="33" t="s">
        <v>96</v>
      </c>
    </row>
    <row r="25" spans="1:11" s="19" customFormat="1" ht="60" customHeight="1" thickTop="1" thickBot="1" x14ac:dyDescent="0.25">
      <c r="A25" s="152"/>
      <c r="B25" s="24" t="s">
        <v>46</v>
      </c>
      <c r="C25" s="23" t="s">
        <v>45</v>
      </c>
      <c r="D25" s="20" t="str">
        <f>'[3]Results-low'!F56</f>
        <v xml:space="preserve"> Machine learning methods (Support Vector Regression (SVR), K-neighbors Regression (KNR), and Random Forest Regression (RFR)), Multilayer Perceptron (MLP), Long Short-Term Memory (LSTM) network, and Convolutional Neural Network (CNN) have been applied over the dataset.</v>
      </c>
      <c r="E25" s="20" t="str">
        <f>'[3]Results-low'!H56</f>
        <v>Emotional Diversity, Annotation Consensus, and Machine Validation</v>
      </c>
      <c r="F25" s="14" t="s">
        <v>436</v>
      </c>
      <c r="G25" s="28" t="s">
        <v>43</v>
      </c>
      <c r="H25" s="41" t="s">
        <v>43</v>
      </c>
      <c r="I25" s="28" t="s">
        <v>42</v>
      </c>
      <c r="J25" s="26"/>
    </row>
    <row r="26" spans="1:11" s="19" customFormat="1" ht="53" customHeight="1" thickTop="1" thickBot="1" x14ac:dyDescent="0.25">
      <c r="A26" s="148" t="s">
        <v>41</v>
      </c>
      <c r="B26" s="24" t="s">
        <v>40</v>
      </c>
      <c r="C26" s="23" t="s">
        <v>39</v>
      </c>
      <c r="D26" s="20" t="str">
        <f>'[3]Results-low'!F73</f>
        <v xml:space="preserve"> The data was randomly named by numbers ranging from 10001 to 22420 to avoid bias.</v>
      </c>
      <c r="E26" s="20" t="str">
        <f>'[3]Results-low'!H73</f>
        <v>The main limitation is the emotional imbalance of the corpus38, which can lead to low performance in SER algorithms for labels of instances with low frequency.</v>
      </c>
      <c r="F26" s="14" t="s">
        <v>437</v>
      </c>
      <c r="G26" s="28" t="s">
        <v>34</v>
      </c>
      <c r="H26" s="41" t="s">
        <v>43</v>
      </c>
      <c r="I26" s="28" t="s">
        <v>34</v>
      </c>
      <c r="J26" s="26" t="s">
        <v>96</v>
      </c>
    </row>
    <row r="27" spans="1:11" s="19" customFormat="1" ht="198" customHeight="1" thickTop="1" thickBot="1" x14ac:dyDescent="0.25">
      <c r="A27" s="148"/>
      <c r="B27" s="27" t="s">
        <v>38</v>
      </c>
      <c r="C27" s="23" t="s">
        <v>37</v>
      </c>
      <c r="D27" s="20" t="str">
        <f>"Representativeness issues:" &amp;'[3]Results-low'!F74 &amp; CHAR(10) &amp;CHAR(10) &amp;  "Imbalances: "&amp; '[3]Results-low'!F75 &amp; CHAR(10) &amp; CHAR(10)  &amp; "Sensitivity: " &amp; '[3]Results-low'!F76</f>
        <v>Representativeness issues: No, all participants involved in the study provided written informed consent and the actors and actresses were informed that their voices would be freely shared anonymously.
Imbalances:  Yes, there is an imbalance issue in the dataset. Data imbalance is observed for dominance, valence, and arousal.
Sensitivity:  No, the dataset does not contain any sensitive data or data that can be offensive for people.</v>
      </c>
      <c r="E27" s="20" t="str">
        <f>"Representativeness issues:" &amp;'[3]Results-low'!H74 &amp; CHAR(10) &amp;CHAR(10) &amp;  "Imbalances: "&amp; '[3]Results-low'!H75 &amp; CHAR(10) &amp; CHAR(10)  &amp; "Sensitivity: " &amp; '[3]Results-low'!H76</f>
        <v>Representativeness issues:Quechua Collao native speakers and Quechua instructors
Imbalances: the corpus38 has an unbalanced emotional content (valence - arousal), a common problem in most data sets for SER39. Data imbalance is also observed for dominance
Sensitivity: No</v>
      </c>
      <c r="F27" s="89" t="s">
        <v>438</v>
      </c>
      <c r="G27" s="25" t="s">
        <v>34</v>
      </c>
      <c r="H27" s="41" t="s">
        <v>43</v>
      </c>
      <c r="I27" s="25" t="s">
        <v>34</v>
      </c>
      <c r="J27" s="26"/>
    </row>
    <row r="28" spans="1:11" s="19" customFormat="1" ht="35" thickTop="1" x14ac:dyDescent="0.2">
      <c r="A28" s="148"/>
      <c r="B28" s="24" t="s">
        <v>36</v>
      </c>
      <c r="C28" s="23" t="s">
        <v>35</v>
      </c>
      <c r="D28" s="20" t="str">
        <f>'[3]Results-low'!F76</f>
        <v xml:space="preserve"> No, the dataset does not contain any sensitive data or data that can be offensive for people.</v>
      </c>
      <c r="E28" s="20" t="str">
        <f>'[3]Results-low'!H76</f>
        <v>No</v>
      </c>
      <c r="F28" s="14" t="s">
        <v>439</v>
      </c>
      <c r="G28" s="21" t="s">
        <v>34</v>
      </c>
      <c r="H28" s="41" t="s">
        <v>43</v>
      </c>
      <c r="I28" s="21" t="s">
        <v>34</v>
      </c>
      <c r="J28" s="22" t="s">
        <v>96</v>
      </c>
    </row>
    <row r="29" spans="1:11" ht="28" customHeight="1" x14ac:dyDescent="0.2">
      <c r="F29" s="14" t="s">
        <v>440</v>
      </c>
      <c r="I29" s="176" t="s">
        <v>334</v>
      </c>
      <c r="J29" s="177">
        <v>50</v>
      </c>
    </row>
    <row r="30" spans="1:11" ht="68" x14ac:dyDescent="0.2">
      <c r="F30" s="14" t="s">
        <v>441</v>
      </c>
    </row>
  </sheetData>
  <mergeCells count="7">
    <mergeCell ref="A26:A28"/>
    <mergeCell ref="A2:A4"/>
    <mergeCell ref="A5:A7"/>
    <mergeCell ref="A8:A10"/>
    <mergeCell ref="A11:A13"/>
    <mergeCell ref="A14:A19"/>
    <mergeCell ref="A20:A25"/>
  </mergeCells>
  <conditionalFormatting sqref="G73:I80 G2:I28">
    <cfRule type="containsText" dxfId="95" priority="5" operator="containsText" text="Fair">
      <formula>NOT(ISERROR(SEARCH("Fair",G2)))</formula>
    </cfRule>
    <cfRule type="containsText" dxfId="94" priority="6" operator="containsText" text="Bad">
      <formula>NOT(ISERROR(SEARCH("Bad",G2)))</formula>
    </cfRule>
    <cfRule type="containsText" dxfId="93" priority="7" stopIfTrue="1" operator="containsText" text="Good">
      <formula>NOT(ISERROR(SEARCH("Good",G2)))</formula>
    </cfRule>
    <cfRule type="containsText" dxfId="92" priority="8" operator="containsText" text="Hallucinate">
      <formula>NOT(ISERROR(SEARCH("Hallucinate",G2)))</formula>
    </cfRule>
  </conditionalFormatting>
  <conditionalFormatting sqref="G81:I84">
    <cfRule type="containsText" dxfId="91" priority="1" operator="containsText" text="Fair">
      <formula>NOT(ISERROR(SEARCH("Fair",G81)))</formula>
    </cfRule>
    <cfRule type="containsText" dxfId="90" priority="2" operator="containsText" text="Bad">
      <formula>NOT(ISERROR(SEARCH("Bad",G81)))</formula>
    </cfRule>
    <cfRule type="containsText" dxfId="89" priority="3" stopIfTrue="1" operator="containsText" text="Good">
      <formula>NOT(ISERROR(SEARCH("Good",G81)))</formula>
    </cfRule>
    <cfRule type="containsText" dxfId="88" priority="4" operator="containsText" text="Hallucinate">
      <formula>NOT(ISERROR(SEARCH("Hallucinate",G81)))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AB66C-D1E9-A44D-A01B-4DC6B88A4176}">
  <dimension ref="A1:J40"/>
  <sheetViews>
    <sheetView topLeftCell="D1" zoomScale="76" zoomScaleNormal="76" workbookViewId="0">
      <selection activeCell="G30" sqref="G30"/>
    </sheetView>
  </sheetViews>
  <sheetFormatPr baseColWidth="10" defaultRowHeight="15" x14ac:dyDescent="0.2"/>
  <cols>
    <col min="1" max="1" width="27.33203125" style="19" customWidth="1"/>
    <col min="2" max="2" width="37.5" style="58" customWidth="1"/>
    <col min="3" max="3" width="34" style="18" customWidth="1"/>
    <col min="4" max="4" width="79.33203125" style="19" customWidth="1"/>
    <col min="5" max="5" width="57.1640625" style="19" customWidth="1"/>
    <col min="6" max="6" width="53" style="17" customWidth="1"/>
    <col min="7" max="8" width="33.6640625" style="17" customWidth="1"/>
    <col min="9" max="9" width="37.33203125" style="17" customWidth="1"/>
    <col min="10" max="16384" width="10.83203125" style="17"/>
  </cols>
  <sheetData>
    <row r="1" spans="1:9" s="19" customFormat="1" ht="33" customHeight="1" thickBot="1" x14ac:dyDescent="0.25">
      <c r="A1" s="44" t="s">
        <v>9</v>
      </c>
      <c r="B1" s="44" t="s">
        <v>105</v>
      </c>
      <c r="C1" s="44" t="s">
        <v>104</v>
      </c>
      <c r="D1" s="42" t="s">
        <v>270</v>
      </c>
      <c r="E1" s="42" t="s">
        <v>107</v>
      </c>
      <c r="F1" s="42" t="s">
        <v>117</v>
      </c>
      <c r="G1" s="43" t="s">
        <v>101</v>
      </c>
      <c r="H1" s="43" t="s">
        <v>120</v>
      </c>
      <c r="I1" s="43" t="s">
        <v>266</v>
      </c>
    </row>
    <row r="2" spans="1:9" s="19" customFormat="1" ht="260" customHeight="1" thickTop="1" x14ac:dyDescent="0.2">
      <c r="A2" s="149" t="s">
        <v>99</v>
      </c>
      <c r="B2" s="38" t="s">
        <v>98</v>
      </c>
      <c r="C2" s="30" t="s">
        <v>97</v>
      </c>
      <c r="D2" s="20" t="str">
        <f>"Purposes: "&amp; '[4]Results-low'!F2&amp;CHAR(10)&amp;CHAR(10)&amp;"Gaps: "&amp;'[4]Results-low'!F5 &amp;CHAR(10)&amp;CHAR(10)&amp;"Tasks: "&amp;'[4]Results-low'!F3 &amp;CHAR(10)&amp;CHAR(10)&amp;"Tags: "&amp;'[4]Results-low'!F4</f>
        <v>Purposes:  The purpose of the dataset is to help improve translational potential of algorithms for diagnosing melanoma, to help clinicians without access to tertiary referral centers assess high risk patients with multiple atypical nevi, and to explore the "ugly duckling" concept with machine learning.
Gaps:  The dataset intends to fill the gap between prior challenges and clinical practice by providing patient-level contextual information to help diagnose melanoma and rule out false positives in patients with many atypical nevi.
Tasks:  image-classification, classification, object-detection, image-segmentation, image-captioning, image-retrieval
Tags:  AI, medical imaging, melanoma, mortality, morbidity, healthcare costs, recognition performance, clinical scenarios, biopsy, biologic skin ecosystem, ugly duckling sign, machine learning, multicenter dataset, clinical contextual information, dermoscopy, quality assurance, software annotation tool, diagnostic labeling, dataset design, data-handling, software applications, institutional databases, image ingestion, database hosting, quality review.</v>
      </c>
      <c r="E2" s="20" t="str">
        <f>"Purposes: "&amp; '[4]Results-low'!G2&amp;CHAR(10)&amp;CHAR(10)&amp;"Gaps: "&amp;'[4]Results-low'!G5 &amp;CHAR(10)&amp;CHAR(10)&amp;"Tasks: "&amp;'[4]Results-low'!G3 &amp;CHAR(10)&amp;CHAR(10)&amp;"Tags: "&amp;'[4]Results-low'!G4</f>
        <v>Purposes: a dermatology image dataset that includes patient- and lesion-related clinical context, which can be used in studies to examine whether this additional information further improves recognition performance.
Gaps: The dataset is designed to improve translational potential of algorithms, especially to help clinicians without access to tertiary referral centers assess high risk patients with multiple atypical nevi
Tasks: image-classification
Tags: melanoma, nevus, atypical, nevus, melanoma, melanoma, nevus, atypical, nevus, melanoma, nevus, atypical, nevus, melanoma, nevus, atypical, nevus, melanoma, nevus, atypical, nevus, melanoma, nevus, atypical, nevus, melanoma, nevus, atypical</v>
      </c>
      <c r="F2" s="20" t="s">
        <v>122</v>
      </c>
      <c r="G2" s="41" t="s">
        <v>3</v>
      </c>
      <c r="H2" s="41" t="s">
        <v>34</v>
      </c>
      <c r="I2" s="40" t="s">
        <v>96</v>
      </c>
    </row>
    <row r="3" spans="1:9" s="19" customFormat="1" ht="160" customHeight="1" x14ac:dyDescent="0.2">
      <c r="A3" s="150"/>
      <c r="B3" s="38" t="s">
        <v>95</v>
      </c>
      <c r="C3" s="30" t="s">
        <v>94</v>
      </c>
      <c r="D3" s="20" t="str">
        <f>'[4]Results-low'!F7&amp;CHAR(10)&amp;CHAR(10)&amp;'[4]Results-low'!F8</f>
        <v xml:space="preserve"> This dataset is recommended for applications related to AI-assisted skin lesion classification, especially for clinicians without access to tertiary referral centers to assess high risk patients with multiple atypical nevi. Additionally, algorithms developed using this dataset may be better candidates for incorporating into dermatology imaging systems, as they can evaluate all images for a given patient in context, and perhaps even be used during clinic visits in which multiple lesions are imaged.
 No.</v>
      </c>
      <c r="E3" s="20" t="str">
        <f>'[4]Results-low'!G7&amp;CHAR(10)&amp;CHAR(10)&amp;'[4]Results-low'!G8</f>
        <v>to help clinicians without access to tertiary referral centers assess high risk patients with multiple atypical nevi
no</v>
      </c>
      <c r="F3" s="20" t="s">
        <v>123</v>
      </c>
      <c r="G3" s="28" t="s">
        <v>34</v>
      </c>
      <c r="H3" s="28" t="s">
        <v>34</v>
      </c>
      <c r="I3" s="39" t="s">
        <v>96</v>
      </c>
    </row>
    <row r="4" spans="1:9" s="19" customFormat="1" ht="133" customHeight="1" x14ac:dyDescent="0.2">
      <c r="A4" s="150"/>
      <c r="B4" s="38" t="s">
        <v>93</v>
      </c>
      <c r="C4" s="30" t="s">
        <v>92</v>
      </c>
      <c r="D4" s="20" t="str">
        <f>'[4]Results-low'!F9</f>
        <v>No: Unsure</v>
      </c>
      <c r="E4" s="20" t="str">
        <f>'[4]Results-low'!G9</f>
        <v>melanoma</v>
      </c>
      <c r="F4" s="20" t="s">
        <v>78</v>
      </c>
      <c r="G4" s="32" t="s">
        <v>3</v>
      </c>
      <c r="H4" s="32" t="s">
        <v>42</v>
      </c>
      <c r="I4" s="40"/>
    </row>
    <row r="5" spans="1:9" s="19" customFormat="1" ht="80" x14ac:dyDescent="0.2">
      <c r="A5" s="151" t="s">
        <v>91</v>
      </c>
      <c r="B5" s="27" t="s">
        <v>90</v>
      </c>
      <c r="C5" s="23" t="s">
        <v>89</v>
      </c>
      <c r="D5" s="20" t="str">
        <f>'[4]Results-low'!F11</f>
        <v xml:space="preserve"> 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 Jabpani Nanda1,12, Ofer Reiter1,13, George Shih14, Alexander Stratigos3, Philipp Tschandl 9, Jochen Weber1 &amp; H. Peter Soyer 2</v>
      </c>
      <c r="E5" s="20" t="str">
        <f>'[4]Results-low'!G11</f>
        <v>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v>
      </c>
      <c r="F5" s="20" t="s">
        <v>124</v>
      </c>
      <c r="G5" s="32" t="s">
        <v>3</v>
      </c>
      <c r="H5" s="32" t="s">
        <v>3</v>
      </c>
      <c r="I5" s="40" t="s">
        <v>96</v>
      </c>
    </row>
    <row r="6" spans="1:9" s="19" customFormat="1" ht="128" x14ac:dyDescent="0.2">
      <c r="A6" s="152"/>
      <c r="B6" s="27" t="s">
        <v>29</v>
      </c>
      <c r="C6" s="23" t="s">
        <v>88</v>
      </c>
      <c r="D6" s="20" t="str">
        <f>'[4]Results-low'!F12 &amp; CHAR(10) &amp; CHAR(10) &amp; "Type:" &amp; '[4]Results-low'!F13  &amp; CHAR(10) &amp; CHAR(10) &amp; "Grants ID:" &amp; '[4]Results-low'!F14</f>
        <v xml:space="preserve"> Yes, the dataset was funded by the National Health and Medical Research Council (NHMRC) – Centre of Research Excellence Scheme (APP 1099021). Additionally, the Melanoma Research Alliance Young Investigator Award 614197 and the NIH/NCI Cancer Center Support Grant P30 CA008748 provided funding.
Type: Unknown
Grants ID: Not provided</v>
      </c>
      <c r="E6" s="20" t="str">
        <f>'[4]Results-low'!G12 &amp; CHAR(10) &amp; CHAR(10) &amp; "Type:" &amp; '[4]Results-low'!G13  &amp; CHAR(10) &amp; CHAR(10) &amp; "Grants ID:" &amp; '[4]Results-low'!G14</f>
        <v>The dataset provided by The University of Queensland in Brisbane was funded by the National Health and Medical Research Council (NHMRC) – Centre of Research Excellence Scheme (APP 1099021).
Type:public
Grants ID:APP 1099021</v>
      </c>
      <c r="F6" s="20" t="s">
        <v>125</v>
      </c>
      <c r="G6" s="28" t="s">
        <v>3</v>
      </c>
      <c r="H6" s="28" t="s">
        <v>3</v>
      </c>
      <c r="I6" s="40" t="s">
        <v>96</v>
      </c>
    </row>
    <row r="7" spans="1:9" s="19" customFormat="1" ht="302" customHeight="1" x14ac:dyDescent="0.2">
      <c r="A7" s="152"/>
      <c r="B7" s="27" t="s">
        <v>87</v>
      </c>
      <c r="C7" s="23" t="s">
        <v>86</v>
      </c>
      <c r="D7" s="20" t="str">
        <f>'[4]Results-low'!F14 &amp; CHAR(10) &amp; CHAR(10) &amp; "Contribution guidelines:" &amp; '[4]Results-low'!F15  &amp; CHAR(10) &amp; CHAR(10) &amp; "Erratum:" &amp; '[4]Results-low'!F16 &amp; CHAR(10) &amp; CHAR(10) &amp; "Data Retention:" &amp; '[4]Results-low'!F17</f>
        <v xml:space="preserve"> Not provided
Contribution guidelines: The maintainers of the dataset are Veronica Rotemberg, Nicholas Kurtansky, Brigid Betz-Stablein, Emmanouil Chousakos, Noel Codella, Marc Combalia, Stephen Dusza, Pascale Guitera, David Gutman, Allan Halpern, Brian Helba, Harald Kittler, Kivanc Kose, Steve Langer, Konstantinos Lioprys, Josep Malvehy, Shenara Musthaq, Jabpani Nanda, Ofer Reiter, George Shih, Alexander Stratigos, Philipp Tschandl, Jochen Weber, and H. Peter Soyer.
Erratum: The dataset is released under a Creative Commons Attribution-NonCommercial 4.0 International (CC BY-NC 4.0) license, and is permanently accessible to the public through the ISIC Archive12 at this https://doi.org/10.34970/2020-ds01. Currently no modifications have been made to the dataset, however, any metadata or image modifications will be noted at that DOI landing page.
Data Retention: No.</v>
      </c>
      <c r="E7" s="20" t="str">
        <f>'[4]Results-low'!G14 &amp; CHAR(10) &amp; CHAR(10) &amp; "Contribution guidelines:" &amp; '[4]Results-low'!G15  &amp; CHAR(10) &amp; CHAR(10) &amp; "Erratum:" &amp; '[4]Results-low'!G16 &amp; CHAR(10) &amp; CHAR(10) &amp; "Data Retention:" &amp; '[4]Results-low'!G17</f>
        <v>APP 1099021
Contribution guidelines:Veronica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
Erratum:Author contributions: All authors have provided critical feedback during revision process and actively participated in preparation of the manuscript. V.R. oversaw dataset design, performed quality review and co-wrote the manuscript with N.K., N.K. collected cases, collated the dataset, and performed data-handling. J.W. and D.G. developed software applications for quality review of images. M.C., K.L., A.S., P.T., B.B.S., P.G. and H.K. collected cases and extracted images from their institutional
Data Retention:no</v>
      </c>
      <c r="F7" s="20"/>
      <c r="G7" s="32" t="s">
        <v>43</v>
      </c>
      <c r="H7" s="32" t="s">
        <v>43</v>
      </c>
      <c r="I7" s="39" t="s">
        <v>96</v>
      </c>
    </row>
    <row r="8" spans="1:9" s="19" customFormat="1" ht="48" x14ac:dyDescent="0.2">
      <c r="A8" s="153" t="s">
        <v>85</v>
      </c>
      <c r="B8" s="38" t="s">
        <v>84</v>
      </c>
      <c r="C8" s="30" t="s">
        <v>83</v>
      </c>
      <c r="D8" s="20" t="str">
        <f>'[4]Results-low'!F19</f>
        <v xml:space="preserve"> Yes, the dataset is available for download through the Kaggle platform and is permanently accessible to the public through the ISIC Archive at this https://doi.org/10.34970/2020-ds01.</v>
      </c>
      <c r="E8" s="20" t="str">
        <f>'[4]Results-low'!G19</f>
        <v>https://doi.org/10.34970/2020-ds01</v>
      </c>
      <c r="F8" s="20" t="s">
        <v>126</v>
      </c>
      <c r="G8" s="28" t="s">
        <v>3</v>
      </c>
      <c r="H8" s="28" t="s">
        <v>3</v>
      </c>
      <c r="I8" s="39" t="s">
        <v>96</v>
      </c>
    </row>
    <row r="9" spans="1:9" s="19" customFormat="1" ht="335" x14ac:dyDescent="0.2">
      <c r="A9" s="150"/>
      <c r="B9" s="38" t="s">
        <v>82</v>
      </c>
      <c r="C9" s="30" t="s">
        <v>81</v>
      </c>
      <c r="D9" s="20" t="str">
        <f>"License: "&amp; '[4]Results-low'!F20 &amp; CHAR(10) &amp; CHAR(10)
&amp; "Thid-parties in-charge: "&amp; '[4]Results-low'!F24 &amp; CHAR(10) &amp; CHAR(10)
&amp; "Attribution notice: "&amp; '[4]Results-low'!F23 &amp; CHAR(10) &amp; CHAR(10)
&amp; "Data Stand-alone:" &amp; '[4]Results-low'!F21  &amp; CHAR(10) &amp; CHAR(10) &amp; "Model trained with the data:" &amp; '[4]Results-low'!F22</f>
        <v>License:  Creative Commons Attribution-NonCommercial 4.0 International (CC BY-NC 4.0)
Thid-parties in-charge:  No, the dataset is released under a Creative Commons Attribution-NonCommercial 4.0 International (CC BY-NC 4.0) license and is permanently accessible to the public through the ISIC Archive.
Attribution notice:  Yes, the dataset is released under a Creative Commons Attribution-NonCommercial 4.0 International (CC BY-NC 4.0) license, and users must provide appropriate credit to the original author(s) and the source, provide a link to the Creative Commons license, and indicate if changes were made.
Data Stand-alone: The dataset is released under a Creative Commons Attribution-NonCommercial 4.0 International (CC BY-NC 4.0) license, which permits use, sharing, adaptation, distribution and reproduction in any medium or format, as long as you give appropriate credit to the original author(s) and the source, provide a link to the Creative Commons license, and indicate if changes were made.
Model trained with the data: The models trained with this data are released under a Creative Commons Attribution-NonCommercial 4.0 International (CC BY-NC 4.0) license, which permits use, sharing, adaptation, distribution and reproduction in any medium or format, as long as appropriate credit is given to the original author(s) and the source, a link to the Creative Commons license is provided, and any changes are indicated.</v>
      </c>
      <c r="E9" s="20" t="str">
        <f>"License: "&amp; '[4]Results-low'!G20 &amp; CHAR(10) &amp; CHAR(10)
&amp; "Thid-parties in-charge: "&amp; '[4]Results-low'!G24 &amp; CHAR(10) &amp; CHAR(10)
&amp; "Attribution notice: "&amp; '[4]Results-low'!G23 &amp; CHAR(10) &amp; CHAR(10)
&amp; "Data Stand-alone:" &amp; '[4]Results-low'!G21  &amp; CHAR(10) &amp; CHAR(10) &amp; "Model trained with the data:" &amp; '[4]Results-low'!G22</f>
        <v>License: CC BY-NC 4.0
Thid-parties in-charge: no
Attribution notice: a Creative Commons Attribution-NonCommercial 4.0 International (CC BY-NC 4.0) license
Data Stand-alone:It is released under a Creative Commons Attribution-NonCommercial 4.0 International (CC BY-NC 4.0) license, and is permanently accessible to the public through the ISIC Archive12 at this https://doi.org/10.34970/2020-ds01.
Model trained with the data:CC BY-NC 4.0</v>
      </c>
      <c r="F9" s="20" t="s">
        <v>127</v>
      </c>
      <c r="G9" s="32" t="s">
        <v>34</v>
      </c>
      <c r="H9" s="32" t="s">
        <v>43</v>
      </c>
      <c r="I9" s="37" t="s">
        <v>96</v>
      </c>
    </row>
    <row r="10" spans="1:9" s="19" customFormat="1" ht="64" x14ac:dyDescent="0.2">
      <c r="A10" s="150"/>
      <c r="B10" s="38" t="s">
        <v>33</v>
      </c>
      <c r="C10" s="30" t="s">
        <v>80</v>
      </c>
      <c r="D10" s="29" t="str">
        <f>'[4]Results-low'!F25</f>
        <v xml:space="preserve"> No, there is no deprecation plan or policy of the dataset. It is permanently accessible to the public through the ISIC Archive and any metadata or image modifications will be noted at the DOI landing page.</v>
      </c>
      <c r="E10" s="29" t="str">
        <f>'[4]Results-low'!G25</f>
        <v>It is released under a Creative Commons Attribution-NonCommercial 4.0 International (CC BY-NC 4.0) license, and is permanently accessible to the public through the ISIC Archive12 at this https://doi.org/10.34970/2020-ds01.</v>
      </c>
      <c r="F10" s="29" t="s">
        <v>47</v>
      </c>
      <c r="G10" s="28" t="s">
        <v>3</v>
      </c>
      <c r="H10" s="28" t="s">
        <v>42</v>
      </c>
      <c r="I10" s="37" t="s">
        <v>96</v>
      </c>
    </row>
    <row r="11" spans="1:9" s="19" customFormat="1" ht="128" x14ac:dyDescent="0.2">
      <c r="A11" s="152" t="s">
        <v>77</v>
      </c>
      <c r="B11" s="27" t="s">
        <v>76</v>
      </c>
      <c r="C11" s="23" t="s">
        <v>75</v>
      </c>
      <c r="D11" s="20" t="str">
        <f>"Files:" &amp;'[4]Results-low'!F27 &amp; CHAR(10) &amp; CHAR(10) &amp; "Attributes:" &amp; '[4]Results-low'!F28</f>
        <v>Files: The dataset is composed of DICOM files and JPEG files with associated comma-separated values (CSV) files.
Attributes: The dataset is available in two formats. The first is the file format described in Part 10 of Digital Imaging and Communication in Medicine (DICOM) standard, which is an amalgamation of the metadata and pixel data in a single file. The pixel data is encoded in Joint Photographic Expert Group (JPEG) format. The second format is where the images are in JPEG format and the metadata is included in a linked comma-separated values (CSV) file.</v>
      </c>
      <c r="E11" s="20" t="str">
        <f>"Files:" &amp;'[4]Results-low'!G27 &amp; CHAR(10) &amp; CHAR(10) &amp; "Attributes:" &amp; '[4]Results-low'!G28</f>
        <v>Files:The dataset is available in two formats. The first is the file format described in Part 10 of Digital Imaging and Communication in Medicine (DICOM) standard18,19, which is currently being developed for dermatology.
Attributes:The first is the file format described in Part 10 of Digital Imaging and Communication in Medicine (DICOM) standard18,19, which is currently being developed for dermatology.</v>
      </c>
      <c r="F11" s="20" t="s">
        <v>128</v>
      </c>
      <c r="G11" s="32" t="s">
        <v>34</v>
      </c>
      <c r="H11" s="32" t="s">
        <v>34</v>
      </c>
      <c r="I11" s="37" t="s">
        <v>96</v>
      </c>
    </row>
    <row r="12" spans="1:9" s="19" customFormat="1" ht="32" x14ac:dyDescent="0.2">
      <c r="A12" s="152"/>
      <c r="B12" s="27" t="s">
        <v>74</v>
      </c>
      <c r="C12" s="23" t="s">
        <v>73</v>
      </c>
      <c r="D12" s="20" t="str">
        <f>'[4]Results-low'!F32</f>
        <v xml:space="preserve"> No, the paper does not mention any recommended data split of the dataset.</v>
      </c>
      <c r="E12" s="20" t="str">
        <f>'[4]Results-low'!G32</f>
        <v>Not mentioned</v>
      </c>
      <c r="F12" s="20" t="s">
        <v>129</v>
      </c>
      <c r="G12" s="32" t="s">
        <v>3</v>
      </c>
      <c r="H12" s="32" t="s">
        <v>3</v>
      </c>
      <c r="I12" s="37" t="s">
        <v>96</v>
      </c>
    </row>
    <row r="13" spans="1:9" s="19" customFormat="1" ht="96" x14ac:dyDescent="0.2">
      <c r="A13" s="152"/>
      <c r="B13" s="27" t="s">
        <v>72</v>
      </c>
      <c r="C13" s="23" t="s">
        <v>71</v>
      </c>
      <c r="D13" s="20" t="str">
        <f>'[4]Results-low'!F31 &amp;  CHAR(10) &amp; CHAR(10) &amp; '[4]Results-low'!F30</f>
        <v xml:space="preserve"> No, the dataset does not have any explicit consistency rule.
 Yes, Table 1 provides a summary of the combined dataset with row and column percentages. Additionally, Fig. 3 shows the distribution of image count per patient.</v>
      </c>
      <c r="E13" s="20" t="str">
        <f>'[4]Results-low'!G31 &amp;  CHAR(10) &amp; CHAR(10) &amp; '[4]Results-low'!G30</f>
        <v>Currently no modifications have been made to the dataset, however, any metadata or image modifications will be noted at that DOI landing page
Various forms of dermoscopy imaging are included in the dataset: contact non-polarized light, contact polarized light, and non-contact polarized light.</v>
      </c>
      <c r="F13" s="20" t="s">
        <v>130</v>
      </c>
      <c r="G13" s="28" t="s">
        <v>3</v>
      </c>
      <c r="H13" s="28" t="s">
        <v>42</v>
      </c>
      <c r="I13" s="37"/>
    </row>
    <row r="14" spans="1:9" s="19" customFormat="1" ht="191" customHeight="1" x14ac:dyDescent="0.2">
      <c r="A14" s="153" t="s">
        <v>70</v>
      </c>
      <c r="B14" s="38" t="s">
        <v>44</v>
      </c>
      <c r="C14" s="30" t="s">
        <v>69</v>
      </c>
      <c r="D14" s="20" t="str">
        <f>'[4]Results-low'!F34</f>
        <v xml:space="preserve"> The dataset was collected from three continents and includes images and metadata from 2,056 patients, with an average of 16 lesions per patient. The images were collected from various sources and incorporated into a cohesive dataset. The dataset was made available for download through the Kaggle platform and is released under a Creative Commons Attribution-NonCommercial 4.0 International (CC BY-NC 4.0) license. The images were selected to minimize the difference in patient imaging date variability and date range between patients with and without an imaged melanoma. Lesions in both classes were subsampled through patient matching, which led to a loss of 4.1% of images.</v>
      </c>
      <c r="E14" s="20" t="str">
        <f>'[4]Results-low'!G34</f>
        <v>The dataset was made available for download through the Kaggle platform as part of a live competition from May 27, 2020 through August 20, 2020.</v>
      </c>
      <c r="F14" s="20" t="s">
        <v>131</v>
      </c>
      <c r="G14" s="28" t="s">
        <v>43</v>
      </c>
      <c r="H14" s="28" t="s">
        <v>42</v>
      </c>
      <c r="I14" s="87" t="s">
        <v>96</v>
      </c>
    </row>
    <row r="15" spans="1:9" s="19" customFormat="1" ht="124" customHeight="1" x14ac:dyDescent="0.2">
      <c r="A15" s="150"/>
      <c r="B15" s="38" t="s">
        <v>56</v>
      </c>
      <c r="C15" s="30" t="s">
        <v>68</v>
      </c>
      <c r="D15" s="20" t="str">
        <f>'[4]Results-low'!F35</f>
        <v xml:space="preserve"> Manual Human Curator</v>
      </c>
      <c r="E15" s="20" t="str">
        <f>'[4]Results-low'!G35</f>
        <v>Manual Human Curator</v>
      </c>
      <c r="F15" s="20" t="s">
        <v>132</v>
      </c>
      <c r="G15" s="28" t="s">
        <v>3</v>
      </c>
      <c r="H15" s="28" t="s">
        <v>3</v>
      </c>
      <c r="I15" s="35" t="s">
        <v>96</v>
      </c>
    </row>
    <row r="16" spans="1:9" s="19" customFormat="1" ht="112" x14ac:dyDescent="0.2">
      <c r="A16" s="150"/>
      <c r="B16" s="38" t="s">
        <v>67</v>
      </c>
      <c r="C16" s="30" t="s">
        <v>66</v>
      </c>
      <c r="D16" s="20" t="str">
        <f>'[4]Results-low'!F45 &amp; CHAR(10) &amp; CHAR(10) &amp; "Type: "&amp;  '[4]Results-low'!F46 &amp; CHAR(10) &amp; CHAR(10) &amp; "Demographics: " &amp;  '[4]Results-low'!F47</f>
        <v xml:space="preserve"> V.R., N.K., J.W., D.G., M.C., K.L., A.S., P.T., B.B.S., P.G., H.K., L.C., N.C., S.D., A.H., K.K., S.L., J.M., H.P.S., B.H., E.C., S.M., J.N., and O.R.
Type:  An internal team and an external team.
Demographics:  No, there is no demographic information provided about the internal team or the external team.</v>
      </c>
      <c r="E16" s="20" t="str">
        <f>'[4]Results-low'!G45 &amp; CHAR(10) &amp; CHAR(10) &amp; "Type: "&amp;  '[4]Results-low'!G46 &amp; CHAR(10) &amp; CHAR(10) &amp; "Demographics: " &amp;  '[4]Results-low'!G47</f>
        <v>The University of Queensland
Type: an external team
Demographics: No</v>
      </c>
      <c r="F16" s="20" t="s">
        <v>133</v>
      </c>
      <c r="G16" s="32" t="s">
        <v>34</v>
      </c>
      <c r="H16" s="32" t="s">
        <v>43</v>
      </c>
      <c r="I16" s="35" t="s">
        <v>96</v>
      </c>
    </row>
    <row r="17" spans="1:10" s="19" customFormat="1" ht="80" x14ac:dyDescent="0.2">
      <c r="A17" s="150"/>
      <c r="B17" s="38" t="s">
        <v>65</v>
      </c>
      <c r="C17" s="30" t="s">
        <v>64</v>
      </c>
      <c r="D17" s="29" t="str">
        <f>'[4]Results-low'!F40</f>
        <v xml:space="preserve"> No</v>
      </c>
      <c r="E17" s="29">
        <f>'[4]Results-low'!G40</f>
        <v>0</v>
      </c>
      <c r="F17" s="29" t="s">
        <v>134</v>
      </c>
      <c r="G17" s="28" t="s">
        <v>34</v>
      </c>
      <c r="H17" s="28" t="s">
        <v>34</v>
      </c>
      <c r="I17" s="35" t="s">
        <v>96</v>
      </c>
    </row>
    <row r="18" spans="1:10" s="19" customFormat="1" ht="144" x14ac:dyDescent="0.2">
      <c r="A18" s="150"/>
      <c r="B18" s="38" t="s">
        <v>62</v>
      </c>
      <c r="C18" s="30" t="s">
        <v>61</v>
      </c>
      <c r="D18" s="20" t="str">
        <f>'[4]Results-low'!F41 &amp; CHAR(10) &amp; CHAR(10) &amp;  '[4]Results-low'!F42 &amp; CHAR(10) &amp; CHAR(10) &amp; "Noise: " &amp;  '[4]Results-low'!F43 &amp; CHAR(10) &amp; CHAR(10) &amp; "Link: " &amp; '[4]Results-low'!F44</f>
        <v xml:space="preserve"> The data was collected from The University of Queensland in Brisbane, Australia. It was funded by the National Health and Medical Research Council (NHMRC) – Centre of Research Excellence Scheme (APP 1099021).
 The University of Queensland in Brisbane, Australia.
Noise:  I don't know.
Link:  I don't know.</v>
      </c>
      <c r="E18" s="20" t="str">
        <f>'[4]Results-low'!G41 &amp; CHAR(10) &amp; CHAR(10) &amp;  '[4]Results-low'!G42 &amp; CHAR(10) &amp; CHAR(10) &amp; "Noise: " &amp;  '[4]Results-low'!G43 &amp; CHAR(10) &amp; CHAR(10) &amp; "Link: " &amp; '[4]Results-low'!G44</f>
        <v>not provided
Kaggle
Noise: I don't know
Link: yes</v>
      </c>
      <c r="F18" s="20" t="s">
        <v>135</v>
      </c>
      <c r="G18" s="32" t="s">
        <v>7</v>
      </c>
      <c r="H18" s="32" t="s">
        <v>42</v>
      </c>
      <c r="I18" s="35" t="s">
        <v>271</v>
      </c>
      <c r="J18" s="19" t="s">
        <v>136</v>
      </c>
    </row>
    <row r="19" spans="1:10" s="19" customFormat="1" ht="80" x14ac:dyDescent="0.2">
      <c r="A19" s="150"/>
      <c r="B19" s="38" t="s">
        <v>60</v>
      </c>
      <c r="C19" s="30" t="s">
        <v>59</v>
      </c>
      <c r="D19" s="20" t="str">
        <f>'[4]Results-low'!F36 &amp; CHAR(10) &amp; CHAR(10) &amp; '[4]Results-low'!F38</f>
        <v xml:space="preserve"> Not provided
 Not provided</v>
      </c>
      <c r="E19" s="20" t="str">
        <f>'[4]Results-low'!G36 &amp; CHAR(10) &amp; CHAR(10) &amp; '[4]Results-low'!G38</f>
        <v>May 27, 2020 through August 20, 2020
The dataset was made available for download through the Kaggle platform as part of a live competition from May 27, 2020 through August 20, 2020.</v>
      </c>
      <c r="F19" s="20" t="s">
        <v>137</v>
      </c>
      <c r="G19" s="28" t="s">
        <v>42</v>
      </c>
      <c r="H19" s="28" t="s">
        <v>42</v>
      </c>
      <c r="I19" s="35"/>
    </row>
    <row r="20" spans="1:10" s="19" customFormat="1" ht="173" customHeight="1" x14ac:dyDescent="0.2">
      <c r="A20" s="151" t="s">
        <v>58</v>
      </c>
      <c r="B20" s="27" t="s">
        <v>44</v>
      </c>
      <c r="C20" s="23" t="s">
        <v>57</v>
      </c>
      <c r="D20" s="20" t="str">
        <f>'[4]Results-low'!F49</f>
        <v xml:space="preserve"> The data was annotated by dermoscopy expert reviewers (EC, OR) using the software annotation tool 'Tagger'. They were presented sets of 30 images with a shared diagnosis and flagged images with erroneous labels. Out of all images reviewed in Tagger, 2.7% were removed. The dataset was also enriched for melanoma in general and does not represent true incidence of melanoma.</v>
      </c>
      <c r="E20" s="20" t="str">
        <f>'[4]Results-low'!G49</f>
        <v>The ground truth labels for all malignant lesions in the dataset were confirmed via retrospective review of histopathology reports, and diagnosis plausibility was visually confirmed by visual confirmation of a dermoscopy expert.</v>
      </c>
      <c r="F20" s="20" t="s">
        <v>138</v>
      </c>
      <c r="G20" s="32" t="s">
        <v>3</v>
      </c>
      <c r="H20" s="32" t="s">
        <v>42</v>
      </c>
      <c r="I20" s="35"/>
    </row>
    <row r="21" spans="1:10" s="19" customFormat="1" ht="57" customHeight="1" x14ac:dyDescent="0.2">
      <c r="A21" s="152"/>
      <c r="B21" s="27" t="s">
        <v>56</v>
      </c>
      <c r="C21" s="23" t="s">
        <v>55</v>
      </c>
      <c r="D21" s="20" t="str">
        <f>'[4]Results-low'!F50</f>
        <v xml:space="preserve"> Image and video annotations</v>
      </c>
      <c r="E21" s="20" t="str">
        <f>'[4]Results-low'!G50</f>
        <v>Others</v>
      </c>
      <c r="F21" s="20" t="s">
        <v>139</v>
      </c>
      <c r="G21" s="28" t="s">
        <v>3</v>
      </c>
      <c r="H21" s="28" t="s">
        <v>43</v>
      </c>
      <c r="I21" s="26" t="s">
        <v>96</v>
      </c>
    </row>
    <row r="22" spans="1:10" s="19" customFormat="1" ht="44" customHeight="1" x14ac:dyDescent="0.2">
      <c r="A22" s="152"/>
      <c r="B22" s="27" t="s">
        <v>54</v>
      </c>
      <c r="C22" s="23" t="s">
        <v>53</v>
      </c>
      <c r="D22" s="20" t="str">
        <f>'[4]Results-low'!F51</f>
        <v xml:space="preserve"> The labels of the dataset are approximate patient age at time of image capture, biological sex, general anatomic site of the lesion, anonymized patient identification number, benign/malignant category, and the specific diagnosis if one was available based on an acceptable ground truth confirmation method.</v>
      </c>
      <c r="E22" s="20" t="str">
        <f>'[4]Results-low'!G51</f>
        <v>benign/malignant category, and the specific diagnosis if one was available based on an acceptable ground truth confirmation method</v>
      </c>
      <c r="F22" s="29"/>
      <c r="G22" s="25" t="s">
        <v>43</v>
      </c>
      <c r="H22" s="25" t="s">
        <v>34</v>
      </c>
      <c r="I22" s="26" t="s">
        <v>96</v>
      </c>
    </row>
    <row r="23" spans="1:10" s="19" customFormat="1" ht="166" customHeight="1" x14ac:dyDescent="0.2">
      <c r="A23" s="152"/>
      <c r="B23" s="27" t="s">
        <v>52</v>
      </c>
      <c r="C23" s="23" t="s">
        <v>51</v>
      </c>
      <c r="D23" s="20" t="str">
        <f>'[4]Results-low'!F52 &amp; CHAR(10) &amp; CHAR(10) &amp; "Type:" &amp;'[4]Results-low'!F53 &amp; CHAR(10) &amp; CHAR(10) &amp; "Demographics:" &amp;'[4]Results-low'!F54</f>
        <v xml:space="preserve"> E.C., S.M., J.N. and O.R. performed quality review of images.
Type: An internal team.
Demographics: No, there is no demographic information about the team who annotated the data.</v>
      </c>
      <c r="E23" s="20" t="str">
        <f>'[4]Results-low'!G52 &amp; CHAR(10) &amp; CHAR(10) &amp; "Type:" &amp;'[4]Results-low'!G53 &amp; CHAR(10) &amp; CHAR(10) &amp; "Demographics:" &amp;'[4]Results-low'!G54</f>
        <v>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
Type:an internal team
Demographics:Veronica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v>
      </c>
      <c r="F23" s="20" t="s">
        <v>140</v>
      </c>
      <c r="G23" s="28" t="s">
        <v>34</v>
      </c>
      <c r="H23" s="28" t="s">
        <v>34</v>
      </c>
      <c r="I23" s="26"/>
    </row>
    <row r="24" spans="1:10" s="19" customFormat="1" ht="123" customHeight="1" x14ac:dyDescent="0.2">
      <c r="A24" s="152"/>
      <c r="B24" s="27" t="s">
        <v>49</v>
      </c>
      <c r="C24" s="23" t="s">
        <v>48</v>
      </c>
      <c r="D24" s="20" t="str">
        <f>'[4]Results-low'!F55</f>
        <v xml:space="preserve"> Tagger</v>
      </c>
      <c r="E24" s="20" t="str">
        <f>'[4]Results-low'!G55</f>
        <v>Tagger</v>
      </c>
      <c r="F24" s="20" t="s">
        <v>141</v>
      </c>
      <c r="G24" s="32" t="s">
        <v>3</v>
      </c>
      <c r="H24" s="32" t="s">
        <v>3</v>
      </c>
      <c r="I24" s="33" t="s">
        <v>96</v>
      </c>
    </row>
    <row r="25" spans="1:10" s="19" customFormat="1" ht="136" customHeight="1" x14ac:dyDescent="0.2">
      <c r="A25" s="152"/>
      <c r="B25" s="27" t="s">
        <v>46</v>
      </c>
      <c r="C25" s="23" t="s">
        <v>45</v>
      </c>
      <c r="D25" s="20" t="str">
        <f>'[4]Results-low'!F56</f>
        <v xml:space="preserve"> Histopathology reports were double checked if the label was suspicious. Melanoma in situ and invasive melanoma were both coded as melanoma. All other qualifying images were coded as benign, including those diagnosed as severely dysplastic nevi. Dermatofibromas, seborrheic keratosis, or vascular lesions were not monitored, as that would not reflect clinical practice, but labels were verified visually by an expert in dermoscopy.</v>
      </c>
      <c r="E25" s="20" t="str">
        <f>'[4]Results-low'!G56</f>
        <v>Technical Validation: The ground truth labels for all malignant lesions in the dataset were confirmed via retrospective review of histopathology reports, and diagnosis plausibility was visually confirmed by visual confirmation of a dermoscopy expert.</v>
      </c>
      <c r="F25" s="20" t="s">
        <v>142</v>
      </c>
      <c r="G25" s="28" t="s">
        <v>3</v>
      </c>
      <c r="H25" s="28" t="s">
        <v>3</v>
      </c>
      <c r="I25" s="26"/>
    </row>
    <row r="26" spans="1:10" s="19" customFormat="1" ht="64" x14ac:dyDescent="0.2">
      <c r="A26" s="148" t="s">
        <v>41</v>
      </c>
      <c r="B26" s="27" t="s">
        <v>40</v>
      </c>
      <c r="C26" s="23" t="s">
        <v>39</v>
      </c>
      <c r="D26" s="20" t="str">
        <f>'[4]Results-low'!F73</f>
        <v xml:space="preserve"> Yes, there is potential bias in the data due to the low population prevalence and challenges with access to care in different populations, which may lead to either overdiagnosis or underdiagnosis of melanomas in darker skin types. Additionally, the dataset is enriched for melanoma in general and does not represent true incidence of melanoma.</v>
      </c>
      <c r="E26" s="20" t="str">
        <f>'[4]Results-low'!G73</f>
        <v>Due to low population prevalence and challenges with access to care in different populations, the images gathered for large datasets such as this for AI classification have a strong tendency to under-represent darker skin types.</v>
      </c>
      <c r="F26" s="20" t="s">
        <v>143</v>
      </c>
      <c r="G26" s="28" t="s">
        <v>3</v>
      </c>
      <c r="H26" s="28" t="s">
        <v>3</v>
      </c>
      <c r="I26" s="26" t="s">
        <v>96</v>
      </c>
    </row>
    <row r="27" spans="1:10" s="19" customFormat="1" ht="192" x14ac:dyDescent="0.2">
      <c r="A27" s="148"/>
      <c r="B27" s="27" t="s">
        <v>38</v>
      </c>
      <c r="C27" s="23" t="s">
        <v>37</v>
      </c>
      <c r="D27" s="20" t="str">
        <f>'[4]Results-low'!F74 &amp; CHAR(10) &amp; '[4]Results-low'!F75 &amp; CHAR(10) &amp; CHAR(10)  &amp; "Sensitivity: " &amp; '[4]Results-low'!F76</f>
        <v xml:space="preserve"> Yes, due to low population prevalence and challenges with access to care in different populations, the images gathered for large datasets such as this for AI classification have a strong tendency to under-represent darker skin types.
 Yes, due to the retrospective nature of image acquisition and potential surveillance bias in different patient populations, the number of lesions per patient was not distributed identically between the class of patients with a melanoma image and the class without a melanoma image. Because the lesions in this dataset do not represent all lesions that exist on this set of patients, it is possible the imbalance is related to selection bias of imaged lesions. Lesions in both classes were subsampled through patient matching, which led to a loss of 4.1% of images. Ultimately, 50% of the patients have more than 10 contextual lesions.
Sensitivity:  No, there are no sensitive data or data that can be offensive for people in the dataset.</v>
      </c>
      <c r="E27" s="20" t="str">
        <f>'[4]Results-low'!G74 &amp; CHAR(10) &amp; '[4]Results-low'!G75 &amp; CHAR(10) &amp; CHAR(10)  &amp; "Sensitivity: " &amp; '[4]Results-low'!G76</f>
        <v>darker skin types
Due to the retrospective nature of image acquisition and potential surveillance bias in different patient populations, the number of lesions per patient was not distributed identically between the class of patients with a melanoma image and the class without a melanoma image
Sensitivity: a strong tendency to under-represent darker skin types</v>
      </c>
      <c r="F27" s="20" t="s">
        <v>144</v>
      </c>
      <c r="G27" s="25" t="s">
        <v>3</v>
      </c>
      <c r="H27" s="25" t="s">
        <v>3</v>
      </c>
      <c r="I27" s="26"/>
    </row>
    <row r="28" spans="1:10" s="19" customFormat="1" ht="96" x14ac:dyDescent="0.2">
      <c r="A28" s="148"/>
      <c r="B28" s="27" t="s">
        <v>36</v>
      </c>
      <c r="C28" s="23" t="s">
        <v>35</v>
      </c>
      <c r="D28" s="20" t="str">
        <f>'[4]Results-low'!F77</f>
        <v xml:space="preserve"> No, the dataset is released under a Creative Commons Attribution-NonCommercial 4.0 International (CC BY-NC 4.0) license, and is permanently accessible to the public through the ISIC Archive.</v>
      </c>
      <c r="E28" s="20" t="str">
        <f>'[4]Results-low'!G77</f>
        <v>The dataset was made available for download through the Kaggle platform as part of a live competition from May 27, 2020 through August 20, 2020. It is released under a Creative Commons Attribution-NonCommercial 4.0 International (CC BY-NC 4.0) license, and is permanently accessible to the public through the ISIC Archive12 at this https://doi.org/10.34970/2020-ds01.</v>
      </c>
      <c r="F28" s="20" t="s">
        <v>78</v>
      </c>
      <c r="G28" s="21" t="s">
        <v>42</v>
      </c>
      <c r="H28" s="21" t="s">
        <v>42</v>
      </c>
      <c r="I28" s="22" t="s">
        <v>96</v>
      </c>
    </row>
    <row r="29" spans="1:10" ht="34" customHeight="1" x14ac:dyDescent="0.2">
      <c r="H29" s="177" t="s">
        <v>336</v>
      </c>
      <c r="I29" s="177">
        <v>78.569999999999993</v>
      </c>
    </row>
    <row r="35" spans="7:8" ht="16" customHeight="1" x14ac:dyDescent="0.2">
      <c r="G35" s="162" t="s">
        <v>145</v>
      </c>
      <c r="H35" s="162"/>
    </row>
    <row r="36" spans="7:8" x14ac:dyDescent="0.2">
      <c r="G36" s="17">
        <f>COUNTIF(F2:F28,"Very Good")</f>
        <v>0</v>
      </c>
      <c r="H36" s="17" t="e">
        <f>COUNTIF(#REF!,"Very Good")</f>
        <v>#REF!</v>
      </c>
    </row>
    <row r="37" spans="7:8" x14ac:dyDescent="0.2">
      <c r="G37" s="17">
        <f>COUNTIF(F2:F28,"Good")</f>
        <v>0</v>
      </c>
      <c r="H37" s="17" t="e">
        <f>COUNTIF(#REF!,"Good")</f>
        <v>#REF!</v>
      </c>
    </row>
    <row r="38" spans="7:8" x14ac:dyDescent="0.2">
      <c r="G38" s="17">
        <f>COUNTIF(F2:F28,"fair")</f>
        <v>0</v>
      </c>
      <c r="H38" s="17" t="e">
        <f>COUNTIF(#REF!,"fair")</f>
        <v>#REF!</v>
      </c>
    </row>
    <row r="39" spans="7:8" x14ac:dyDescent="0.2">
      <c r="G39" s="17">
        <f>COUNTIF(F2:F28,"Bad")</f>
        <v>0</v>
      </c>
      <c r="H39" s="17" t="e">
        <f>COUNTIF(#REF!,"Bad")</f>
        <v>#REF!</v>
      </c>
    </row>
    <row r="40" spans="7:8" x14ac:dyDescent="0.2">
      <c r="G40" s="17">
        <f t="shared" ref="G40" si="0">COUNTIF(F2:F28,"hallucinate")</f>
        <v>0</v>
      </c>
      <c r="H40" s="17" t="e">
        <f>COUNTIF(#REF!,"hallucinate")</f>
        <v>#REF!</v>
      </c>
    </row>
  </sheetData>
  <mergeCells count="8">
    <mergeCell ref="A26:A28"/>
    <mergeCell ref="G35:H35"/>
    <mergeCell ref="A2:A4"/>
    <mergeCell ref="A5:A7"/>
    <mergeCell ref="A8:A10"/>
    <mergeCell ref="A11:A13"/>
    <mergeCell ref="A14:A19"/>
    <mergeCell ref="A20:A25"/>
  </mergeCells>
  <conditionalFormatting sqref="G2:H28">
    <cfRule type="containsText" dxfId="87" priority="37" operator="containsText" text="Fair">
      <formula>NOT(ISERROR(SEARCH("Fair",G2)))</formula>
    </cfRule>
    <cfRule type="containsText" dxfId="86" priority="38" operator="containsText" text="Bad">
      <formula>NOT(ISERROR(SEARCH("Bad",G2)))</formula>
    </cfRule>
    <cfRule type="containsText" dxfId="85" priority="39" stopIfTrue="1" operator="containsText" text="Good">
      <formula>NOT(ISERROR(SEARCH("Good",G2)))</formula>
    </cfRule>
    <cfRule type="containsText" dxfId="84" priority="40" operator="containsText" text="Hallucinate">
      <formula>NOT(ISERROR(SEARCH("Hallucinate",G2)))</formula>
    </cfRule>
  </conditionalFormatting>
  <conditionalFormatting sqref="H73:H80">
    <cfRule type="containsText" dxfId="83" priority="25" operator="containsText" text="Fair">
      <formula>NOT(ISERROR(SEARCH("Fair",H73)))</formula>
    </cfRule>
    <cfRule type="containsText" dxfId="82" priority="26" operator="containsText" text="Bad">
      <formula>NOT(ISERROR(SEARCH("Bad",H73)))</formula>
    </cfRule>
    <cfRule type="containsText" dxfId="81" priority="27" stopIfTrue="1" operator="containsText" text="Good">
      <formula>NOT(ISERROR(SEARCH("Good",H73)))</formula>
    </cfRule>
    <cfRule type="containsText" dxfId="80" priority="28" operator="containsText" text="Hallucinate">
      <formula>NOT(ISERROR(SEARCH("Hallucinate",H73)))</formula>
    </cfRule>
  </conditionalFormatting>
  <conditionalFormatting sqref="H81:H84">
    <cfRule type="containsText" dxfId="79" priority="21" operator="containsText" text="Fair">
      <formula>NOT(ISERROR(SEARCH("Fair",H81)))</formula>
    </cfRule>
    <cfRule type="containsText" dxfId="78" priority="22" operator="containsText" text="Bad">
      <formula>NOT(ISERROR(SEARCH("Bad",H81)))</formula>
    </cfRule>
    <cfRule type="containsText" dxfId="77" priority="23" stopIfTrue="1" operator="containsText" text="Good">
      <formula>NOT(ISERROR(SEARCH("Good",H81)))</formula>
    </cfRule>
    <cfRule type="containsText" dxfId="76" priority="24" operator="containsText" text="Hallucinate">
      <formula>NOT(ISERROR(SEARCH("Hallucinate",H81)))</formula>
    </cfRule>
  </conditionalFormatting>
  <conditionalFormatting sqref="G73:G80">
    <cfRule type="containsText" dxfId="75" priority="9" operator="containsText" text="Fair">
      <formula>NOT(ISERROR(SEARCH("Fair",G73)))</formula>
    </cfRule>
    <cfRule type="containsText" dxfId="74" priority="10" operator="containsText" text="Bad">
      <formula>NOT(ISERROR(SEARCH("Bad",G73)))</formula>
    </cfRule>
    <cfRule type="containsText" dxfId="73" priority="11" stopIfTrue="1" operator="containsText" text="Good">
      <formula>NOT(ISERROR(SEARCH("Good",G73)))</formula>
    </cfRule>
    <cfRule type="containsText" dxfId="72" priority="12" operator="containsText" text="Hallucinate">
      <formula>NOT(ISERROR(SEARCH("Hallucinate",G73)))</formula>
    </cfRule>
  </conditionalFormatting>
  <conditionalFormatting sqref="G81:G84">
    <cfRule type="containsText" dxfId="71" priority="5" operator="containsText" text="Fair">
      <formula>NOT(ISERROR(SEARCH("Fair",G81)))</formula>
    </cfRule>
    <cfRule type="containsText" dxfId="70" priority="6" operator="containsText" text="Bad">
      <formula>NOT(ISERROR(SEARCH("Bad",G81)))</formula>
    </cfRule>
    <cfRule type="containsText" dxfId="69" priority="7" stopIfTrue="1" operator="containsText" text="Good">
      <formula>NOT(ISERROR(SEARCH("Good",G81)))</formula>
    </cfRule>
    <cfRule type="containsText" dxfId="68" priority="8" operator="containsText" text="Hallucinate">
      <formula>NOT(ISERROR(SEARCH("Hallucinate",G81)))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139E0-AE97-E243-890C-32BE03F53B7A}">
  <dimension ref="A1:I45"/>
  <sheetViews>
    <sheetView topLeftCell="C17" zoomScaleNormal="100" workbookViewId="0">
      <selection activeCell="G27" sqref="G27"/>
    </sheetView>
  </sheetViews>
  <sheetFormatPr baseColWidth="10" defaultRowHeight="15" x14ac:dyDescent="0.2"/>
  <cols>
    <col min="1" max="1" width="27.33203125" style="19" customWidth="1"/>
    <col min="2" max="2" width="28.6640625" style="58" customWidth="1"/>
    <col min="3" max="3" width="34" style="18" customWidth="1"/>
    <col min="4" max="4" width="59.5" style="66" customWidth="1"/>
    <col min="5" max="5" width="37" style="66" customWidth="1"/>
    <col min="6" max="6" width="47.1640625" style="17" customWidth="1"/>
    <col min="7" max="8" width="33.6640625" style="17" customWidth="1"/>
    <col min="9" max="9" width="37.33203125" style="17" customWidth="1"/>
    <col min="10" max="16384" width="10.83203125" style="17"/>
  </cols>
  <sheetData>
    <row r="1" spans="1:9" s="19" customFormat="1" ht="33" customHeight="1" thickBot="1" x14ac:dyDescent="0.25">
      <c r="A1" s="59" t="s">
        <v>9</v>
      </c>
      <c r="B1" s="60" t="s">
        <v>105</v>
      </c>
      <c r="C1" s="60" t="s">
        <v>104</v>
      </c>
      <c r="D1" s="43" t="s">
        <v>106</v>
      </c>
      <c r="E1" s="43" t="s">
        <v>107</v>
      </c>
      <c r="F1" s="43" t="s">
        <v>102</v>
      </c>
      <c r="G1" s="43" t="s">
        <v>119</v>
      </c>
      <c r="H1" s="43" t="s">
        <v>146</v>
      </c>
      <c r="I1" s="43" t="s">
        <v>266</v>
      </c>
    </row>
    <row r="2" spans="1:9" s="19" customFormat="1" ht="260" customHeight="1" thickTop="1" x14ac:dyDescent="0.2">
      <c r="A2" s="165" t="s">
        <v>99</v>
      </c>
      <c r="B2" s="38" t="s">
        <v>98</v>
      </c>
      <c r="C2" s="30" t="s">
        <v>97</v>
      </c>
      <c r="D2" s="61" t="str">
        <f>"Purposes: "&amp; '[5]Results-low'!G2&amp;CHAR(10)&amp;CHAR(10)&amp;"Gaps: "&amp;'[5]Results-low'!G5 &amp;CHAR(10)&amp;CHAR(10)&amp;"Tasks: "&amp;'[5]Results-low'!G3 &amp;CHAR(10)&amp;CHAR(10)&amp;"Tags: "&amp;'[5]Results-low'!G4</f>
        <v>Purposes:  The purpose of the dataset is to accurately capture a wide range of complex, nuanced biomedical phenomena found in eligibility criteria using a rich, granular annotation schema, and to serve as a valuable training dataset for NLP approaches while significantly simplifying disambiguation steps and text-processing for query generation.
Gaps:  The Leaf Clinical Trials (LCT) corpus is intended to fill the gaps in existing datasets by providing a highly granular structured annotation schema that captures a range of biomedical phenomena. This multilayered annotation strategy allows for significant flexibility in capturing entities and relations in a slot-filling fashion, simplifying the task of downstream query generation. The LCT annotation schema contributes novel features such as deep granularity in entities and relations, which enables a rich semantic representation that closely captures the intent of complex clinical trial eligibility criteria and facilitates accurate query generation.
Tasks:  information retrieval
Tags:  Clinical trials, eligibility criteria, natural language processing, NLP, query generation, structured query language, SQL, biomedical phenomena, contraindications, named entity recognition, NER, relation extraction, normalization, ICD-10, negation detection, cohort discovery, Leaf, i2b2, semantic parsing, information retrieval, EliIE, Chia, Brat annotation tool.</v>
      </c>
      <c r="E2" s="61" t="str">
        <f>"Purposes: "&amp; '[5]Results-low'!I2&amp;CHAR(10)&amp;CHAR(10)&amp;"Gaps: "&amp;'[5]Results-low'!I5 &amp;CHAR(10)&amp;CHAR(10)&amp;"Tasks: "&amp;'[5]Results-low'!I3 &amp;CHAR(10)&amp;CHAR(10)&amp;"Tags: "&amp;'[5]Results-low'!I4</f>
        <v>Purposes: Identifying cohorts of patients based on eligibility criteria such as medical conditions, procedures, and medication use is critical to recruitment for clinical trials. Such criteria are often most naturally described in free-text, using language familiar to clinicians and researchers. In order to identify potential participants at scale, these criteria must first be translated into queries on clinical databases, which can be labor-intensive and error-prone. Natural language processing (NLP) methods offer a potential means of such conversion into database queries automatically. However they must first be trained and evaluated using corpora which capture clinical trials criteria in sufficient detail. In this
Gaps: Identifying cohorts of patients based on eligibility criteria such as medical conditions, procedures, and medication use is critical to recruitment for clinical trials. Such criteria are often most naturally described in free-text, using language familiar to clinicians and researchers. In order to identify potential participants at scale, these criteria must first be translated into queries on clinical databases, which can be labor-intensive and error-prone. Natural language processing (NLP) methods offer a potential means of such conversion into database queries automatically. However they must first be trained and evaluated using corpora which capture clinical trials criteria in sufficient detail. In this
Tasks: other
Tags: Annotation, Clinical, Trial, Eligibility, Identify, Cohort, Identifying, Medical, Conditions, Procedures, Medication, Use</v>
      </c>
      <c r="F2" s="40" t="s">
        <v>147</v>
      </c>
      <c r="G2" s="41" t="s">
        <v>50</v>
      </c>
      <c r="H2" s="41" t="s">
        <v>34</v>
      </c>
      <c r="I2" s="40" t="s">
        <v>96</v>
      </c>
    </row>
    <row r="3" spans="1:9" s="19" customFormat="1" ht="160" customHeight="1" x14ac:dyDescent="0.2">
      <c r="A3" s="166"/>
      <c r="B3" s="38" t="s">
        <v>95</v>
      </c>
      <c r="C3" s="30" t="s">
        <v>94</v>
      </c>
      <c r="D3" s="61" t="str">
        <f>'[5]Results-low'!G7&amp;CHAR(10)&amp;CHAR(10)&amp;'[5]Results-low'!G8</f>
        <v xml:space="preserve"> The Leaf Clinical Trials (LCT) corpus is recommended for training and evaluating natural language processing (NLP) methods for query generation from clinical trial eligibility criteria. It can be used to facilitate query generation and question answering for real-world clinical trials and clinical research, specifically for a future version of the Leaf cohort discovery tool.
 No</v>
      </c>
      <c r="E3" s="61" t="str">
        <f>'[5]Results-low'!I7&amp;CHAR(10)&amp;CHAR(10)&amp;'[5]Results-low'!I8</f>
        <v>The LCT corpus is designed to facilitate query generation and question answering for real-world clinical trials and clinical research, specifically for a future version of the Leaf cohort discovery tool2.
no</v>
      </c>
      <c r="F3" s="39" t="s">
        <v>148</v>
      </c>
      <c r="G3" s="28" t="s">
        <v>50</v>
      </c>
      <c r="H3" s="28" t="s">
        <v>149</v>
      </c>
      <c r="I3" s="39" t="s">
        <v>96</v>
      </c>
    </row>
    <row r="4" spans="1:9" s="19" customFormat="1" ht="188" customHeight="1" x14ac:dyDescent="0.2">
      <c r="A4" s="166"/>
      <c r="B4" s="38" t="s">
        <v>93</v>
      </c>
      <c r="C4" s="30" t="s">
        <v>92</v>
      </c>
      <c r="D4" s="61" t="str">
        <f>'[5]Results-low'!G9</f>
        <v xml:space="preserve"> The models used to test the dataset are biLSTM + CRF, SciBERT, PubMedBERT, and R-BERT.  The F1 score for entities using SciBERT was 81.3%, and the F1 score for relations using the R-BERT architecture with SciBERT was 85.2%. The precision for the NER experiments using the manually annotated and semi-automatically annotated portions of the corpus was 79.7%, the recall was 82.5%, and the F1 score was 81.4%. The F1 scores for the manually annotated and semi-automatically annotated portions of the corpus were 78.6% and 80.0%, respectively. The initial inter-annotator agreement using the 20 training documents was 76.1% for entities and 60.3% for relations, and improved slightly to 78.1% (+2%) for entities and 60.9% (+0.6%) for relations in the 99 additional double-annotated documents.</v>
      </c>
      <c r="E4" s="61" t="str">
        <f>'[5]Results-low'!I9</f>
        <v>biLSTM + CRF and BERT22 neural architectures: F1 score of 81.3% on entities using SciBERT and 85.2% on relations using the R-BERT architecture with SciBERT</v>
      </c>
      <c r="F4" s="40" t="s">
        <v>150</v>
      </c>
      <c r="G4" s="32" t="s">
        <v>50</v>
      </c>
      <c r="H4" s="32" t="s">
        <v>34</v>
      </c>
      <c r="I4" s="40"/>
    </row>
    <row r="5" spans="1:9" s="19" customFormat="1" ht="32" x14ac:dyDescent="0.2">
      <c r="A5" s="167" t="s">
        <v>91</v>
      </c>
      <c r="B5" s="27" t="s">
        <v>90</v>
      </c>
      <c r="C5" s="23" t="s">
        <v>89</v>
      </c>
      <c r="D5" s="61" t="str">
        <f>'[5]Results-low'!G10</f>
        <v xml:space="preserve"> Nicholas J. Dobbins, Tony Mullen, Özlem Uzuner, Meliha Yetisgen</v>
      </c>
      <c r="E5" s="61" t="str">
        <f>'[5]Results-low'!I10</f>
        <v>Nicholas J. Dobbins, Tony Mullen, zlem Uzuner &amp; Meliha Yetisgen</v>
      </c>
      <c r="F5" s="40" t="str">
        <f>'[5]Results-low'!I10</f>
        <v>Nicholas J. Dobbins, Tony Mullen, zlem Uzuner &amp; Meliha Yetisgen</v>
      </c>
      <c r="G5" s="32" t="s">
        <v>50</v>
      </c>
      <c r="H5" s="32" t="s">
        <v>50</v>
      </c>
      <c r="I5" s="40" t="s">
        <v>96</v>
      </c>
    </row>
    <row r="6" spans="1:9" s="19" customFormat="1" ht="160" x14ac:dyDescent="0.2">
      <c r="A6" s="163"/>
      <c r="B6" s="27" t="s">
        <v>29</v>
      </c>
      <c r="C6" s="23" t="s">
        <v>88</v>
      </c>
      <c r="D6" s="61" t="str">
        <f>'[5]Results-low'!G11 &amp; CHAR(10) &amp; CHAR(10) &amp; "Type:" &amp; '[5]Results-low'!G12  &amp; CHAR(10) &amp; CHAR(10) &amp; "Grants ID:" &amp; '[5]Results-low'!G13</f>
        <v xml:space="preserve"> Yes, this study was supported in part by the National Library of Medicine under Award Number R15LM013209 and by the National Center for Advancing Translational Sciences of National Institutes of Health under Award Number UL1TR002319. Experiments were run on computational resources generously provided by the UW Department of Radiology.
Type: Public
Grants ID: Not provided</v>
      </c>
      <c r="E6" s="61" t="str">
        <f>'[5]Results-low'!I11 &amp; CHAR(10) &amp; CHAR(10) &amp; "Type:" &amp; '[5]Results-low'!I12  &amp; CHAR(10) &amp; CHAR(10) &amp; "Grants ID:" &amp; '[5]Results-low'!I13</f>
        <v>This study was supported in part by the National Library of Medicine under Award Number R15LM013209 and by the National Center for Advancing Translational Sciences of National Institutes of Health under Award Number UL1TR002319.
Type:public
Grants ID:not provided</v>
      </c>
      <c r="F6" s="40" t="s">
        <v>466</v>
      </c>
      <c r="G6" s="28" t="s">
        <v>34</v>
      </c>
      <c r="H6" s="28" t="s">
        <v>0</v>
      </c>
      <c r="I6" s="40" t="s">
        <v>96</v>
      </c>
    </row>
    <row r="7" spans="1:9" s="19" customFormat="1" ht="302" customHeight="1" x14ac:dyDescent="0.2">
      <c r="A7" s="163"/>
      <c r="B7" s="27" t="s">
        <v>87</v>
      </c>
      <c r="C7" s="23" t="s">
        <v>86</v>
      </c>
      <c r="D7" s="61" t="str">
        <f>'[5]Results-low'!G14 &amp; CHAR(10) &amp; CHAR(10) &amp; "Contribution guidelines:" &amp; '[5]Results-low'!G15  &amp; CHAR(10) &amp; CHAR(10) &amp; "Erratum:" &amp; '[5]Results-low'!G16 &amp; CHAR(10) &amp; CHAR(10) &amp; "Data Retention:" &amp; '[5]Results-low'!G17</f>
        <v xml:space="preserve"> The maintainers of the dataset are Nicholas J. Dobbins, Tony Mullen, Özlem Uzuner, and Meliha Yetisgen.
Contribution guidelines: No.
Erratum: No.
Data Retention: No.</v>
      </c>
      <c r="E7" s="61" t="str">
        <f>'[5]Results-low'!I14 &amp; CHAR(10) &amp; CHAR(10) &amp; "Contribution guidelines:" &amp; '[5]Results-low'!I15  &amp; CHAR(10) &amp; CHAR(10) &amp; "Erratum:" &amp; '[5]Results-low'!I16 &amp; CHAR(10) &amp; CHAR(10) &amp; "Data Retention:" &amp; '[5]Results-low'!I17</f>
        <v>Nicholas J. Dobbins, Tony Mullen, zlem Uzuner &amp; Meliha Yetisgen1
Contribution guidelines:1. The combined inclusion and exclusion criteria text was at least 50 characters long. 2. The clinical trial was uploaded on or after January 1st, 2018.
Erratum:no
Data Retention:no</v>
      </c>
      <c r="F7" s="39" t="s">
        <v>467</v>
      </c>
      <c r="G7" s="32" t="s">
        <v>34</v>
      </c>
      <c r="H7" s="32" t="s">
        <v>43</v>
      </c>
      <c r="I7" s="39" t="s">
        <v>96</v>
      </c>
    </row>
    <row r="8" spans="1:9" s="19" customFormat="1" ht="48" x14ac:dyDescent="0.2">
      <c r="A8" s="168" t="s">
        <v>85</v>
      </c>
      <c r="B8" s="38" t="s">
        <v>31</v>
      </c>
      <c r="C8" s="30" t="s">
        <v>83</v>
      </c>
      <c r="D8" s="61" t="str">
        <f>'[5]Results-low'!G18</f>
        <v xml:space="preserve"> Yes, the data can be found at https://doi.org/10.6084/m9.figshare.1720961021.</v>
      </c>
      <c r="E8" s="61" t="str">
        <f>'[5]Results-low'!I18</f>
        <v>https://doi.org/10.6084/ m9.figshare.1720961021</v>
      </c>
      <c r="F8" s="39" t="s">
        <v>468</v>
      </c>
      <c r="G8" s="28" t="s">
        <v>34</v>
      </c>
      <c r="H8" s="28" t="s">
        <v>0</v>
      </c>
      <c r="I8" s="39" t="s">
        <v>96</v>
      </c>
    </row>
    <row r="9" spans="1:9" s="19" customFormat="1" ht="320" x14ac:dyDescent="0.2">
      <c r="A9" s="166"/>
      <c r="B9" s="38" t="s">
        <v>82</v>
      </c>
      <c r="C9" s="30" t="s">
        <v>81</v>
      </c>
      <c r="D9" s="61" t="str">
        <f>"License: "&amp; '[5]Results-low'!G19 &amp; CHAR(10) &amp; CHAR(10)
&amp; "Thid-parties in-charge: "&amp; '[5]Results-low'!G24 &amp; CHAR(10) &amp; CHAR(10)
&amp; "Attribution notice: "&amp; '[5]Results-low'!G23 &amp; CHAR(10) &amp; CHAR(10)
&amp; "Data Stand-alone:" &amp; '[5]Results-low'!G21  &amp; CHAR(10) &amp; CHAR(10) &amp; "Model trained with the data:" &amp; '[5]Results-low'!G22</f>
        <v>License:  Creative Commons Attribution 4.0 International License
Thid-parties in-charge:  No, the license and distribution of the dataset is covered by the Creative Commons Attribution 4.0 International License, which is described in the context.
Attribution notice:  No, the license and distribution of the dataset is managed by the authors.
Data Stand-alone: The models trained with this data are not subject to any specific rights. The data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
Model trained with the data: Yes, the attribution notice is included in the Creative Commons license. It states that you must give appropriate credit to the original author(s) and the source, provide a link to the Creative Commons license, and indicate if changes were made.</v>
      </c>
      <c r="E9" s="61" t="str">
        <f>"License: "&amp; '[5]Results-low'!I19 &amp; CHAR(10) &amp; CHAR(10)
&amp; "Thid-parties in-charge: "&amp; '[5]Results-low'!I24 &amp; CHAR(10) &amp; CHAR(10)
&amp; "Attribution notice: "&amp; '[5]Results-low'!I23 &amp; CHAR(10) &amp; CHAR(10)
&amp; "Data Stand-alone:" &amp; '[5]Results-low'!I21  &amp; CHAR(10) &amp; CHAR(10) &amp; "Model trained with the data:" &amp; '[5]Results-low'!I22</f>
        <v>License: Creative Commons Attribution 4.0 International License
Thid-parties in-charge: Yes
Attribution notice: No
Data Stand-alone:Creative Commons Attribution 4.0 International License
Model trained with the data:The images or other third party material in this article are included in the article’s Creative Commons license, unless indicated otherwise in a credit line to the material.</v>
      </c>
      <c r="F9" s="37" t="s">
        <v>469</v>
      </c>
      <c r="G9" s="32" t="s">
        <v>50</v>
      </c>
      <c r="H9" s="32" t="s">
        <v>0</v>
      </c>
      <c r="I9" s="37" t="s">
        <v>96</v>
      </c>
    </row>
    <row r="10" spans="1:9" s="19" customFormat="1" ht="32" x14ac:dyDescent="0.2">
      <c r="A10" s="166"/>
      <c r="B10" s="38" t="s">
        <v>33</v>
      </c>
      <c r="C10" s="30" t="s">
        <v>80</v>
      </c>
      <c r="D10" s="62" t="s">
        <v>78</v>
      </c>
      <c r="E10" s="62" t="s">
        <v>78</v>
      </c>
      <c r="F10" s="37" t="s">
        <v>470</v>
      </c>
      <c r="G10" s="28"/>
      <c r="H10" s="28" t="s">
        <v>50</v>
      </c>
      <c r="I10" s="37" t="s">
        <v>96</v>
      </c>
    </row>
    <row r="11" spans="1:9" s="19" customFormat="1" ht="304" x14ac:dyDescent="0.2">
      <c r="A11" s="163" t="s">
        <v>77</v>
      </c>
      <c r="B11" s="27" t="s">
        <v>76</v>
      </c>
      <c r="C11" s="23" t="s">
        <v>75</v>
      </c>
      <c r="D11" s="61" t="str">
        <f>"Files:" &amp;'[5]Results-low'!G27 &amp; CHAR(10) &amp; CHAR(10) &amp; "Attributes:" &amp; '[5]Results-low'!G28</f>
        <v>Files: The LCT corpus includes two file types, “.txt” files and “.ann” files. The “.txt” files contain the free-text eligibility criteria information in the 1,006 documents of the LCT corpus. Each file is named using the “NCT” identifier used by https://clinicaltrials.gov. The “.ann” files contain the annotations of the eligibility criteria using the Brat “standoff” format.
Attributes: No, I don't know.</v>
      </c>
      <c r="E11" s="61" t="str">
        <f>"Files:" &amp;'[5]Results-low'!I27 &amp; CHAR(10) &amp; CHAR(10) &amp; "Attributes:" &amp; '[5]Results-low'!I28</f>
        <v>Files:The LCT corpus is annotated using the Brat “standoff ” format. The Brat format includes two file types, “.txt” files and “.ann” files.
Attributes:NER, relation extraction, normalization, negation detection</v>
      </c>
      <c r="F11" s="199" t="s">
        <v>471</v>
      </c>
      <c r="G11" s="32" t="s">
        <v>34</v>
      </c>
      <c r="H11" s="32" t="s">
        <v>34</v>
      </c>
      <c r="I11" s="37" t="s">
        <v>96</v>
      </c>
    </row>
    <row r="12" spans="1:9" s="19" customFormat="1" ht="32" x14ac:dyDescent="0.2">
      <c r="A12" s="163"/>
      <c r="B12" s="27" t="s">
        <v>74</v>
      </c>
      <c r="C12" s="23" t="s">
        <v>73</v>
      </c>
      <c r="D12" s="61" t="str">
        <f>'[5]Results-low'!G31</f>
        <v xml:space="preserve"> No, the paper does not mention any recommended data split of the dataset.</v>
      </c>
      <c r="E12" s="61" t="str">
        <f>'[5]Results-low'!I31</f>
        <v>No</v>
      </c>
      <c r="F12" s="37" t="s">
        <v>470</v>
      </c>
      <c r="G12" s="32" t="s">
        <v>42</v>
      </c>
      <c r="H12" s="32" t="s">
        <v>50</v>
      </c>
      <c r="I12" s="37" t="s">
        <v>96</v>
      </c>
    </row>
    <row r="13" spans="1:9" s="19" customFormat="1" ht="48" x14ac:dyDescent="0.2">
      <c r="A13" s="163"/>
      <c r="B13" s="27" t="s">
        <v>72</v>
      </c>
      <c r="C13" s="23" t="s">
        <v>71</v>
      </c>
      <c r="D13" s="61" t="str">
        <f>'[5]Results-low'!G31 &amp;  CHAR(10) &amp; CHAR(10) &amp; '[5]Results-low'!G30</f>
        <v xml:space="preserve"> No, the paper does not mention any recommended data split of the dataset.
 No, the LCT annotation schema does not have any explicit consistency rules.</v>
      </c>
      <c r="E13" s="61" t="str">
        <f>'[5]Results-low'!I31 &amp;  CHAR(10) &amp; CHAR(10) &amp; '[5]Results-low'!I30</f>
        <v>No
No</v>
      </c>
      <c r="F13" s="37" t="s">
        <v>470</v>
      </c>
      <c r="G13" s="28" t="s">
        <v>34</v>
      </c>
      <c r="H13" s="28" t="s">
        <v>50</v>
      </c>
      <c r="I13" s="37"/>
    </row>
    <row r="14" spans="1:9" s="19" customFormat="1" ht="98" customHeight="1" x14ac:dyDescent="0.2">
      <c r="A14" s="168" t="s">
        <v>70</v>
      </c>
      <c r="B14" s="38" t="s">
        <v>44</v>
      </c>
      <c r="C14" s="30" t="s">
        <v>69</v>
      </c>
      <c r="D14" s="61" t="str">
        <f>'[5]Results-low'!G33</f>
        <v xml:space="preserve"> The Leaf Clinical Trials (LCT) corpus is a dataset of over 1,000 clinical trial eligibility criteria descriptions. The documents were randomly selected and included only if they met certain criteria, such as being uploaded on or after January 1st, 2018 and having a combined inclusion and exclusion criteria text of at least 50 characters long. The data was collected from the ClinicalTrials.gov website.</v>
      </c>
      <c r="E14" s="61" t="str">
        <f>'[5]Results-low'!I33</f>
        <v>We extracted 1,020 randomly selected clinical trials eligibility descriptions, 20 for training and inter-annotator comparison and 1,000 for post-training annotation.</v>
      </c>
      <c r="F14" s="36"/>
      <c r="G14" s="28" t="s">
        <v>50</v>
      </c>
      <c r="H14" s="28" t="s">
        <v>43</v>
      </c>
      <c r="I14" s="87" t="s">
        <v>96</v>
      </c>
    </row>
    <row r="15" spans="1:9" s="19" customFormat="1" ht="302" customHeight="1" x14ac:dyDescent="0.2">
      <c r="A15" s="166"/>
      <c r="B15" s="38" t="s">
        <v>56</v>
      </c>
      <c r="C15" s="30" t="s">
        <v>68</v>
      </c>
      <c r="D15" s="61" t="str">
        <f>'[5]Results-low'!G34</f>
        <v xml:space="preserve"> Web Scraping</v>
      </c>
      <c r="E15" s="61" t="str">
        <f>'[5]Results-low'!I34</f>
        <v>Others</v>
      </c>
      <c r="F15" s="35" t="s">
        <v>472</v>
      </c>
      <c r="G15" s="28" t="s">
        <v>34</v>
      </c>
      <c r="H15" s="28" t="s">
        <v>43</v>
      </c>
      <c r="I15" s="35" t="s">
        <v>96</v>
      </c>
    </row>
    <row r="16" spans="1:9" s="19" customFormat="1" ht="112" x14ac:dyDescent="0.2">
      <c r="A16" s="166"/>
      <c r="B16" s="38" t="s">
        <v>67</v>
      </c>
      <c r="C16" s="30" t="s">
        <v>66</v>
      </c>
      <c r="D16" s="61" t="str">
        <f>'[5]Results-low'!G44 &amp; CHAR(10) &amp; CHAR(10) &amp; "Type: "&amp;  '[5]Results-low'!G45 &amp; CHAR(10) &amp; CHAR(10) &amp; "Demographics: " &amp;  '[5]Results-low'!G46</f>
        <v xml:space="preserve"> The team who collected the data was Nicholas J. Dobbins, Tony Mullen, Özlem Uzuner, and Meliha Yetisgen.
Type:  An internal team.
Demographics:  No, the LCT corpus does not include any demographic information of an internal team.</v>
      </c>
      <c r="E16" s="61" t="str">
        <f>'[5]Results-low'!I44 &amp; CHAR(10) &amp; CHAR(10) &amp; "Type: "&amp;  '[5]Results-low'!I45 &amp; CHAR(10) &amp; CHAR(10) &amp; "Demographics: " &amp;  '[5]Results-low'!I46</f>
        <v>Nicholas J. Dobbins, Tony Mullen, zlem Uzuner &amp; Meliha Yetisgen1
Type: an external team
Demographics: No</v>
      </c>
      <c r="F16" s="35" t="s">
        <v>473</v>
      </c>
      <c r="G16" s="32" t="s">
        <v>50</v>
      </c>
      <c r="H16" s="32" t="s">
        <v>34</v>
      </c>
      <c r="I16" s="35" t="s">
        <v>96</v>
      </c>
    </row>
    <row r="17" spans="1:9" s="19" customFormat="1" ht="80" x14ac:dyDescent="0.2">
      <c r="A17" s="166"/>
      <c r="B17" s="38" t="s">
        <v>65</v>
      </c>
      <c r="C17" s="30" t="s">
        <v>64</v>
      </c>
      <c r="D17" s="63" t="str">
        <f>'[5]Results-low'!G39</f>
        <v xml:space="preserve"> Yes</v>
      </c>
      <c r="E17" s="63" t="str">
        <f>'[5]Results-low'!I39</f>
        <v>Yes</v>
      </c>
      <c r="F17" s="35" t="s">
        <v>474</v>
      </c>
      <c r="G17" s="28" t="s">
        <v>34</v>
      </c>
      <c r="H17" s="28" t="s">
        <v>34</v>
      </c>
      <c r="I17" s="35" t="s">
        <v>96</v>
      </c>
    </row>
    <row r="18" spans="1:9" s="19" customFormat="1" ht="176" x14ac:dyDescent="0.2">
      <c r="A18" s="166"/>
      <c r="B18" s="38" t="s">
        <v>62</v>
      </c>
      <c r="C18" s="30" t="s">
        <v>61</v>
      </c>
      <c r="D18" s="61" t="str">
        <f>'[5]Results-low'!G41 &amp; CHAR(10) &amp; CHAR(10) &amp;  '[5]Results-low'!G40 &amp; CHAR(10) &amp; CHAR(10) &amp; "Noise: " &amp;  '[5]Results-low'!G42 &amp; CHAR(10) &amp; CHAR(10) &amp; "Link: " &amp; '[5]Results-low'!G43</f>
        <v xml:space="preserve"> The Leaf Clinical Trials Corpus
 The data was collected from the Leaf Clinical Trials Corpus, a human-annotated corpus of over 1,000 clinical trial eligibility criteria descriptions using highly granular structured labels capturing a range of biomedical phenomena.
Noise:  It is difficult to say without further information about the Leaf Clinical Trials Corpus.
Link:  I don't know.</v>
      </c>
      <c r="E18" s="61" t="str">
        <f>'[5]Results-low'!I41 &amp; CHAR(10) &amp; CHAR(10) &amp;  '[5]Results-low'!I40 &amp; CHAR(10) &amp; CHAR(10) &amp; "Noise: " &amp;  '[5]Results-low'!I42 &amp; CHAR(10) &amp; CHAR(10) &amp; "Link: " &amp; '[5]Results-low'!I43</f>
        <v>clinical trials eligibility descriptions
not provided
Noise: I don't know
Link: not provided</v>
      </c>
      <c r="F18" s="87" t="s">
        <v>475</v>
      </c>
      <c r="G18" s="32" t="s">
        <v>42</v>
      </c>
      <c r="H18" s="32" t="s">
        <v>42</v>
      </c>
      <c r="I18" s="35"/>
    </row>
    <row r="19" spans="1:9" s="19" customFormat="1" ht="48" x14ac:dyDescent="0.2">
      <c r="A19" s="166"/>
      <c r="B19" s="38" t="s">
        <v>60</v>
      </c>
      <c r="C19" s="30" t="s">
        <v>59</v>
      </c>
      <c r="D19" s="61" t="str">
        <f>'[5]Results-low'!G35 &amp; CHAR(10) &amp; CHAR(10) &amp; '[5]Results-low'!G37</f>
        <v xml:space="preserve"> January 1st, 2018
 Not provided</v>
      </c>
      <c r="E19" s="61" t="str">
        <f>'[5]Results-low'!I35 &amp; CHAR(10) &amp; CHAR(10) &amp; '[5]Results-low'!I37</f>
        <v>1 February 2022
clinicaltrials.gov</v>
      </c>
      <c r="F19" s="35" t="s">
        <v>134</v>
      </c>
      <c r="G19" s="28" t="s">
        <v>42</v>
      </c>
      <c r="H19" s="28" t="s">
        <v>43</v>
      </c>
      <c r="I19" s="35"/>
    </row>
    <row r="20" spans="1:9" s="19" customFormat="1" ht="173" customHeight="1" x14ac:dyDescent="0.2">
      <c r="A20" s="167" t="s">
        <v>58</v>
      </c>
      <c r="B20" s="27" t="s">
        <v>44</v>
      </c>
      <c r="C20" s="23" t="s">
        <v>57</v>
      </c>
      <c r="D20" s="61" t="str">
        <f>'[5]Results-low'!G48</f>
        <v xml:space="preserve"> The data of the LCT corpus was annotated by two annotators, a biomedical informatician and a computer scientist. Initial annotation training was done with 20 documents, and annotation was done in several steps. First, annotation meetings were held bi-weekly for 3 months following initial annotation training in which the annotation guidelines were introduced and revised. After that, eligibility criteria were assigned to each annotator, with each clinical trial eligibility criteria annotated by a single annotator using the BRAT annotation tool. At the point in which 50% of the corpus was annotated, two neural networks were trained using the NeuroNER tool to predict annotations for the remaining 50%. Manual annotation was completed on the remaining 50% of eligibility descriptions by editing and correcting the predicted entities from NeuroNER. The resulting corpus included 887 single-annotated and 119 double-annotated total notes.</v>
      </c>
      <c r="E20" s="61" t="str">
        <f>'[5]Results-low'!I48</f>
        <v>The LCT corpus is annotated using the Brat “standoff ” format.</v>
      </c>
      <c r="F20" s="87" t="s">
        <v>476</v>
      </c>
      <c r="G20" s="32" t="s">
        <v>50</v>
      </c>
      <c r="H20" s="32" t="s">
        <v>43</v>
      </c>
      <c r="I20" s="35"/>
    </row>
    <row r="21" spans="1:9" s="19" customFormat="1" ht="57" customHeight="1" x14ac:dyDescent="0.2">
      <c r="A21" s="163"/>
      <c r="B21" s="27" t="s">
        <v>56</v>
      </c>
      <c r="C21" s="23" t="s">
        <v>55</v>
      </c>
      <c r="D21" s="61" t="str">
        <f>'[5]Results-low'!G49</f>
        <v xml:space="preserve"> Entity annotation</v>
      </c>
      <c r="E21" s="61" t="str">
        <f>'[5]Results-low'!I49</f>
        <v>Image and video annotations</v>
      </c>
      <c r="F21" s="26" t="s">
        <v>477</v>
      </c>
      <c r="G21" s="28" t="s">
        <v>50</v>
      </c>
      <c r="H21" s="28" t="s">
        <v>42</v>
      </c>
      <c r="I21" s="26" t="s">
        <v>96</v>
      </c>
    </row>
    <row r="22" spans="1:9" s="19" customFormat="1" ht="44" hidden="1" customHeight="1" x14ac:dyDescent="0.2">
      <c r="A22" s="163"/>
      <c r="B22" s="27" t="s">
        <v>54</v>
      </c>
      <c r="C22" s="23" t="s">
        <v>53</v>
      </c>
      <c r="D22" s="62"/>
      <c r="E22" s="62"/>
      <c r="F22" s="26"/>
      <c r="G22" s="25"/>
      <c r="H22" s="25"/>
      <c r="I22" s="26" t="s">
        <v>96</v>
      </c>
    </row>
    <row r="23" spans="1:9" s="19" customFormat="1" ht="113" customHeight="1" x14ac:dyDescent="0.2">
      <c r="A23" s="163"/>
      <c r="B23" s="27" t="s">
        <v>52</v>
      </c>
      <c r="C23" s="23" t="s">
        <v>51</v>
      </c>
      <c r="D23" s="61" t="str">
        <f>'[5]Results-low'!G51 &amp; CHAR(10) &amp; CHAR(10) &amp; "Type:" &amp;'[5]Results-low'!G52 &amp; CHAR(10) &amp; CHAR(10) &amp; "Demographics:" &amp;'[5]Results-low'!G53</f>
        <v xml:space="preserve"> N.D., T.M., O.U., and M.Y. have all annotated the data.
Type: The data was annotated by two annotators, the first a biomedical informatician and the second a computer scientist.
Demographics: No, there is no demographic information about the team who annotated the data.</v>
      </c>
      <c r="E23" s="61" t="str">
        <f>'[5]Results-low'!I51 &amp; CHAR(10) &amp; CHAR(10) &amp; "Type:" &amp;'[5]Results-low'!I52 &amp; CHAR(10) &amp; CHAR(10) &amp; "Demographics:" &amp;'[5]Results-low'!I53</f>
        <v>Nicholas J. Dobbins, Tony Mullen, zlem Uzuner &amp; Meliha Yetisgen1
Type:Annotation was performed by two annotators, the first a biomedical informatician and the second a computer scientist
Demographics:No</v>
      </c>
      <c r="F23" s="26" t="s">
        <v>478</v>
      </c>
      <c r="G23" s="28" t="s">
        <v>34</v>
      </c>
      <c r="H23" s="28" t="s">
        <v>34</v>
      </c>
      <c r="I23" s="26"/>
    </row>
    <row r="24" spans="1:9" s="19" customFormat="1" ht="43" customHeight="1" x14ac:dyDescent="0.2">
      <c r="A24" s="163"/>
      <c r="B24" s="27" t="s">
        <v>49</v>
      </c>
      <c r="C24" s="23" t="s">
        <v>48</v>
      </c>
      <c r="D24" s="61" t="str">
        <f>'[5]Results-low'!G54</f>
        <v xml:space="preserve"> The Brat annotation tool has been used to annotate the dataset.</v>
      </c>
      <c r="E24" s="61" t="str">
        <f>'[5]Results-low'!I54</f>
        <v>BRAT annotation tool19</v>
      </c>
      <c r="F24" s="33" t="s">
        <v>479</v>
      </c>
      <c r="G24" s="32" t="s">
        <v>34</v>
      </c>
      <c r="H24" s="32" t="s">
        <v>34</v>
      </c>
      <c r="I24" s="33" t="s">
        <v>96</v>
      </c>
    </row>
    <row r="25" spans="1:9" s="19" customFormat="1" ht="31" customHeight="1" x14ac:dyDescent="0.2">
      <c r="A25" s="163"/>
      <c r="B25" s="27" t="s">
        <v>46</v>
      </c>
      <c r="C25" s="23" t="s">
        <v>45</v>
      </c>
      <c r="D25" s="61" t="str">
        <f>'[5]Results-low'!G55</f>
        <v xml:space="preserve"> Inter-annotator agreement was calculated using F1 scoring for entities and relations with 20 double-annotated documents. Additionally, NER experiments were conducted using the manually annotated and semi-automatically annotated portions of the corpus.</v>
      </c>
      <c r="E25" s="61" t="str">
        <f>'[5]Results-low'!I55</f>
        <v>Inter-annotator agreement. Inter-annotator agreement was calculated using F1 scoring for entities and relations with 20 double-annotated documents.</v>
      </c>
      <c r="F25" s="26" t="s">
        <v>334</v>
      </c>
      <c r="G25" s="28" t="s">
        <v>50</v>
      </c>
      <c r="H25" s="28" t="s">
        <v>34</v>
      </c>
      <c r="I25" s="26"/>
    </row>
    <row r="26" spans="1:9" s="19" customFormat="1" ht="48" x14ac:dyDescent="0.2">
      <c r="A26" s="163" t="s">
        <v>41</v>
      </c>
      <c r="B26" s="27" t="s">
        <v>40</v>
      </c>
      <c r="C26" s="23" t="s">
        <v>39</v>
      </c>
      <c r="D26" s="61" t="str">
        <f>'[5]Results-low'!G88</f>
        <v xml:space="preserve"> No, the dataset only includes eligibility criteria related to medical conditions, procedures, and medication use. It does not include any social groups.</v>
      </c>
      <c r="E26" s="61" t="str">
        <f>'[5]Results-low'!I88</f>
        <v>The LCT corpus is designed as a granular and robust resource of annotated eligibility criteria to enable models for entity and relation prediction as means of query generation.</v>
      </c>
      <c r="F26" s="26" t="s">
        <v>480</v>
      </c>
      <c r="G26" s="28" t="s">
        <v>50</v>
      </c>
      <c r="H26" s="28" t="s">
        <v>42</v>
      </c>
      <c r="I26" s="26" t="s">
        <v>96</v>
      </c>
    </row>
    <row r="27" spans="1:9" s="19" customFormat="1" ht="112" x14ac:dyDescent="0.2">
      <c r="A27" s="163"/>
      <c r="B27" s="27" t="s">
        <v>38</v>
      </c>
      <c r="C27" s="23" t="s">
        <v>37</v>
      </c>
      <c r="D27" s="61" t="str">
        <f>'[5]Results-low'!G89 &amp; CHAR(10) &amp; CHAR(10) &amp;  "Sensitivity: " &amp; '[5]Results-low'!G90</f>
        <v xml:space="preserve"> No, the results of experiments to detect differences in performance by training on the manually annotated portion versus the semi-automatically annotated portion (F1 scores of 78.6% and 80.0%) suggest this may not be not a significant issue.
Sensitivity:  No, the dataset does not contain any sensitive data or data that can be offensive for people.</v>
      </c>
      <c r="E27" s="61" t="str">
        <f>'[5]Results-low'!I89 &amp; CHAR(10) &amp; CHAR(10) &amp;  "Sensitivity: " &amp; '[5]Results-low'!I90</f>
        <v>804 documents used for the training set and 202 for the test set
Sensitivity: 804 documents used for the training set and 202 for the test set</v>
      </c>
      <c r="F27" s="26" t="s">
        <v>480</v>
      </c>
      <c r="G27" s="25" t="s">
        <v>50</v>
      </c>
      <c r="H27" s="25" t="s">
        <v>43</v>
      </c>
      <c r="I27" s="26"/>
    </row>
    <row r="28" spans="1:9" s="19" customFormat="1" ht="32" x14ac:dyDescent="0.2">
      <c r="A28" s="163"/>
      <c r="B28" s="27" t="s">
        <v>151</v>
      </c>
      <c r="C28" s="23" t="s">
        <v>152</v>
      </c>
      <c r="D28" s="61" t="str">
        <f>'[5]Results-low'!G90</f>
        <v xml:space="preserve"> No, the dataset does not contain any sensitive data or data that can be offensive for people.</v>
      </c>
      <c r="E28" s="61" t="str">
        <f>'[5]Results-low'!I90</f>
        <v>804 documents used for the training set and 202 for the test set</v>
      </c>
      <c r="F28" s="26" t="s">
        <v>78</v>
      </c>
      <c r="G28" s="28" t="s">
        <v>50</v>
      </c>
      <c r="H28" s="28" t="s">
        <v>42</v>
      </c>
      <c r="I28" s="22" t="s">
        <v>96</v>
      </c>
    </row>
    <row r="29" spans="1:9" s="19" customFormat="1" ht="32" x14ac:dyDescent="0.2">
      <c r="A29" s="164"/>
      <c r="B29" s="64" t="s">
        <v>36</v>
      </c>
      <c r="C29" s="65" t="s">
        <v>35</v>
      </c>
      <c r="D29" s="61" t="str">
        <f>'[5]Results-low'!G91</f>
        <v xml:space="preserve"> No, the data is publicly available and does not contain any private information.</v>
      </c>
      <c r="E29" s="61" t="str">
        <f>'[5]Results-low'!I91</f>
        <v>No</v>
      </c>
      <c r="F29" s="22" t="s">
        <v>480</v>
      </c>
      <c r="G29" s="21" t="s">
        <v>50</v>
      </c>
      <c r="H29" s="21" t="s">
        <v>34</v>
      </c>
      <c r="I29" s="22" t="s">
        <v>96</v>
      </c>
    </row>
    <row r="30" spans="1:9" ht="14" customHeight="1" x14ac:dyDescent="0.2"/>
    <row r="35" spans="2:9" s="19" customFormat="1" ht="15" customHeight="1" x14ac:dyDescent="0.2">
      <c r="B35" s="58"/>
      <c r="C35" s="18"/>
      <c r="D35" s="66"/>
      <c r="E35" s="66"/>
      <c r="F35" s="17"/>
      <c r="G35" s="17"/>
      <c r="H35" s="17"/>
      <c r="I35" s="17"/>
    </row>
    <row r="36" spans="2:9" s="19" customFormat="1" ht="15" customHeight="1" x14ac:dyDescent="0.2">
      <c r="B36" s="58"/>
      <c r="C36" s="18"/>
      <c r="D36" s="66"/>
      <c r="E36" s="66"/>
      <c r="F36" s="17"/>
      <c r="G36" s="17"/>
      <c r="H36" s="17"/>
      <c r="I36" s="17"/>
    </row>
    <row r="45" spans="2:9" s="19" customFormat="1" ht="15" customHeight="1" x14ac:dyDescent="0.2">
      <c r="B45" s="58"/>
      <c r="C45" s="18"/>
      <c r="D45" s="66"/>
      <c r="E45" s="66"/>
      <c r="F45" s="17"/>
      <c r="G45" s="17"/>
      <c r="H45" s="17"/>
      <c r="I45" s="17"/>
    </row>
  </sheetData>
  <mergeCells count="7">
    <mergeCell ref="A26:A29"/>
    <mergeCell ref="A2:A4"/>
    <mergeCell ref="A5:A7"/>
    <mergeCell ref="A8:A10"/>
    <mergeCell ref="A11:A13"/>
    <mergeCell ref="A14:A19"/>
    <mergeCell ref="A20:A25"/>
  </mergeCells>
  <conditionalFormatting sqref="G76:H87 G2:H29">
    <cfRule type="containsText" dxfId="67" priority="1" operator="containsText" text="Fair">
      <formula>NOT(ISERROR(SEARCH("Fair",G2)))</formula>
    </cfRule>
    <cfRule type="containsText" dxfId="66" priority="2" operator="containsText" text="Bad">
      <formula>NOT(ISERROR(SEARCH("Bad",G2)))</formula>
    </cfRule>
    <cfRule type="containsText" dxfId="65" priority="3" stopIfTrue="1" operator="containsText" text="Good">
      <formula>NOT(ISERROR(SEARCH("Good",G2)))</formula>
    </cfRule>
    <cfRule type="containsText" dxfId="64" priority="4" operator="containsText" text="Hallucinate">
      <formula>NOT(ISERROR(SEARCH("Hallucinate",G2)))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16</vt:i4>
      </vt:variant>
    </vt:vector>
  </HeadingPairs>
  <TitlesOfParts>
    <vt:vector size="16" baseType="lpstr">
      <vt:lpstr>Main</vt:lpstr>
      <vt:lpstr>Overall</vt:lpstr>
      <vt:lpstr>GPT</vt:lpstr>
      <vt:lpstr>FLANUL2</vt:lpstr>
      <vt:lpstr>Mosquito</vt:lpstr>
      <vt:lpstr>Body</vt:lpstr>
      <vt:lpstr>Quechua</vt:lpstr>
      <vt:lpstr>Melanoma</vt:lpstr>
      <vt:lpstr>Leaf</vt:lpstr>
      <vt:lpstr>Antimicrobial</vt:lpstr>
      <vt:lpstr>Albanian</vt:lpstr>
      <vt:lpstr>Prostate</vt:lpstr>
      <vt:lpstr>Kenya</vt:lpstr>
      <vt:lpstr>Indonesia</vt:lpstr>
      <vt:lpstr>Lontar</vt:lpstr>
      <vt:lpstr>Kurdish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 Giner</dc:creator>
  <cp:lastModifiedBy>Joan Giner</cp:lastModifiedBy>
  <dcterms:created xsi:type="dcterms:W3CDTF">2023-04-27T14:40:06Z</dcterms:created>
  <dcterms:modified xsi:type="dcterms:W3CDTF">2023-06-01T13:45:33Z</dcterms:modified>
</cp:coreProperties>
</file>