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oa\Documents\HEIG-VD\Optik\Labo\L1\Rapport\RapportOptique\"/>
    </mc:Choice>
  </mc:AlternateContent>
  <xr:revisionPtr revIDLastSave="0" documentId="13_ncr:1_{1814C7E1-4DE6-4488-B8A3-8AB54ECED75F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" i="1" l="1"/>
  <c r="K5" i="1"/>
  <c r="F18" i="1"/>
  <c r="H7" i="1"/>
  <c r="H5" i="1"/>
  <c r="F13" i="1"/>
  <c r="F12" i="1"/>
  <c r="F11" i="1"/>
  <c r="F10" i="1"/>
  <c r="F9" i="1"/>
  <c r="F8" i="1"/>
  <c r="F7" i="1"/>
  <c r="F6" i="1"/>
  <c r="E25" i="1"/>
  <c r="F25" i="1" s="1"/>
  <c r="C25" i="1"/>
  <c r="B25" i="1"/>
  <c r="E24" i="1"/>
  <c r="F24" i="1" s="1"/>
  <c r="C24" i="1"/>
  <c r="B24" i="1"/>
  <c r="E23" i="1"/>
  <c r="D23" i="1"/>
  <c r="F23" i="1" s="1"/>
  <c r="C23" i="1"/>
  <c r="B23" i="1"/>
  <c r="E22" i="1"/>
  <c r="D22" i="1"/>
  <c r="F22" i="1" s="1"/>
  <c r="B22" i="1"/>
  <c r="E21" i="1"/>
  <c r="D21" i="1"/>
  <c r="F21" i="1" s="1"/>
  <c r="C21" i="1"/>
  <c r="B21" i="1"/>
  <c r="E20" i="1"/>
  <c r="D20" i="1"/>
  <c r="F20" i="1" s="1"/>
  <c r="B20" i="1"/>
  <c r="E19" i="1"/>
  <c r="D19" i="1"/>
  <c r="C19" i="1"/>
  <c r="B19" i="1"/>
  <c r="E18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F5" i="1" s="1"/>
  <c r="F19" i="1" l="1"/>
  <c r="I7" i="1"/>
  <c r="I5" i="1"/>
</calcChain>
</file>

<file path=xl/sharedStrings.xml><?xml version="1.0" encoding="utf-8"?>
<sst xmlns="http://schemas.openxmlformats.org/spreadsheetml/2006/main" count="18" uniqueCount="14">
  <si>
    <t>alphaE = 0</t>
  </si>
  <si>
    <t>he</t>
  </si>
  <si>
    <t>hs</t>
  </si>
  <si>
    <t>deltaY</t>
  </si>
  <si>
    <t>deltaX</t>
  </si>
  <si>
    <t>alphaS</t>
  </si>
  <si>
    <t>a11</t>
  </si>
  <si>
    <t>a12</t>
  </si>
  <si>
    <t>a12_all</t>
  </si>
  <si>
    <t>a21</t>
  </si>
  <si>
    <t>a22</t>
  </si>
  <si>
    <t>a22_all</t>
  </si>
  <si>
    <t>he = 0</t>
  </si>
  <si>
    <t>alphaE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</si>
</sst>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5"/>
  <sheetViews>
    <sheetView tabSelected="1" zoomScaleNormal="100" workbookViewId="0">
      <selection activeCell="G12" sqref="G12"/>
    </sheetView>
  </sheetViews>
  <sheetFormatPr baseColWidth="10" defaultColWidth="10.44140625" defaultRowHeight="14.4" x14ac:dyDescent="0.3"/>
  <cols>
    <col min="11" max="11" width="12" customWidth="1"/>
  </cols>
  <sheetData>
    <row r="3" spans="1:11" x14ac:dyDescent="0.3">
      <c r="B3" t="s">
        <v>0</v>
      </c>
    </row>
    <row r="4" spans="1:11" x14ac:dyDescent="0.3">
      <c r="B4" s="1" t="s">
        <v>1</v>
      </c>
      <c r="C4" s="1" t="s">
        <v>2</v>
      </c>
      <c r="D4" s="1" t="s">
        <v>4</v>
      </c>
      <c r="E4" s="1" t="s">
        <v>3</v>
      </c>
      <c r="F4" s="1" t="s">
        <v>5</v>
      </c>
      <c r="H4" s="1" t="s">
        <v>6</v>
      </c>
      <c r="I4" s="1" t="s">
        <v>7</v>
      </c>
      <c r="J4" s="2"/>
      <c r="K4" s="1" t="s">
        <v>8</v>
      </c>
    </row>
    <row r="5" spans="1:11" x14ac:dyDescent="0.3">
      <c r="B5" s="1">
        <v>0</v>
      </c>
      <c r="C5" s="1">
        <v>0</v>
      </c>
      <c r="D5" s="1">
        <v>0</v>
      </c>
      <c r="E5" s="1">
        <f>260*10^(-3)</f>
        <v>0.26</v>
      </c>
      <c r="F5" s="1">
        <f>ATAN(D5/E5)</f>
        <v>0</v>
      </c>
      <c r="H5" s="1">
        <f>SLOPE(C5:C13,B5:B13)</f>
        <v>7.1619724391352897E-3</v>
      </c>
      <c r="I5" s="1">
        <f>SLOPE($C$18:$C$25,$B$18:$B$25)</f>
        <v>3.0359510511615539</v>
      </c>
      <c r="J5" s="3"/>
      <c r="K5" s="1">
        <f>SLOPE($C$18:$C$25,$B$18:$B$25)</f>
        <v>3.0359510511615539</v>
      </c>
    </row>
    <row r="6" spans="1:11" x14ac:dyDescent="0.3">
      <c r="A6">
        <v>4</v>
      </c>
      <c r="B6" s="1">
        <f t="shared" ref="B6:B13" si="0">RADIANS(A6)</f>
        <v>6.9813170079773182E-2</v>
      </c>
      <c r="C6" s="1">
        <f>1*10^(-3)</f>
        <v>1E-3</v>
      </c>
      <c r="D6" s="1">
        <f>-10*10^(-3)</f>
        <v>-0.01</v>
      </c>
      <c r="E6" s="1">
        <f>254*10^(-3)</f>
        <v>0.254</v>
      </c>
      <c r="F6" s="1">
        <f>ATAN(D6/E6)</f>
        <v>-3.9349756388605321E-2</v>
      </c>
      <c r="H6" s="1" t="s">
        <v>9</v>
      </c>
      <c r="I6" s="1" t="s">
        <v>10</v>
      </c>
      <c r="J6" s="3"/>
      <c r="K6" s="1" t="s">
        <v>11</v>
      </c>
    </row>
    <row r="7" spans="1:11" x14ac:dyDescent="0.3">
      <c r="A7">
        <v>6</v>
      </c>
      <c r="B7" s="1">
        <f t="shared" si="0"/>
        <v>0.10471975511965978</v>
      </c>
      <c r="C7" s="1">
        <f>1.5*10^(-3)</f>
        <v>1.5E-3</v>
      </c>
      <c r="D7" s="1">
        <f>-10*10^(-3)</f>
        <v>-0.01</v>
      </c>
      <c r="E7" s="1">
        <f>177*10^(-3)</f>
        <v>0.17699999999999999</v>
      </c>
      <c r="F7" s="1">
        <f>ATAN(D7/E7)</f>
        <v>-5.6437178311703334E-2</v>
      </c>
      <c r="H7" s="1">
        <f>SLOPE(F5:F13,B5:B13)</f>
        <v>-0.50176466638400963</v>
      </c>
      <c r="I7" s="1">
        <f>SLOPE($F$18:$F$25,$B$18:$B$25)</f>
        <v>4.0490109681225106E-3</v>
      </c>
      <c r="J7" s="4"/>
      <c r="K7" s="1">
        <f>SLOPE($F$18:$F$25,$B$18:$B$25)</f>
        <v>4.0490109681225106E-3</v>
      </c>
    </row>
    <row r="8" spans="1:11" x14ac:dyDescent="0.3">
      <c r="A8">
        <v>8</v>
      </c>
      <c r="B8" s="1">
        <f t="shared" si="0"/>
        <v>0.13962634015954636</v>
      </c>
      <c r="C8" s="1">
        <f>1.5*10^(-3)</f>
        <v>1.5E-3</v>
      </c>
      <c r="D8" s="1">
        <f>-15*10^(-3)</f>
        <v>-1.4999999999999999E-2</v>
      </c>
      <c r="E8" s="1">
        <f>192*10^(-3)</f>
        <v>0.192</v>
      </c>
      <c r="F8" s="1">
        <f>ATAN(D8/E8)</f>
        <v>-7.7966633831542301E-2</v>
      </c>
    </row>
    <row r="9" spans="1:11" x14ac:dyDescent="0.3">
      <c r="A9">
        <v>10</v>
      </c>
      <c r="B9" s="1">
        <f t="shared" si="0"/>
        <v>0.17453292519943295</v>
      </c>
      <c r="C9" s="1">
        <f>2*10^(-3)</f>
        <v>2E-3</v>
      </c>
      <c r="D9" s="1">
        <f>-10*10^(-3)</f>
        <v>-0.01</v>
      </c>
      <c r="E9" s="1">
        <f>111*10^(-3)</f>
        <v>0.111</v>
      </c>
      <c r="F9" s="1">
        <f>ATAN(D9/E9)</f>
        <v>-8.984753969462772E-2</v>
      </c>
    </row>
    <row r="10" spans="1:11" x14ac:dyDescent="0.3">
      <c r="A10">
        <v>12</v>
      </c>
      <c r="B10" s="1">
        <f t="shared" si="0"/>
        <v>0.20943951023931956</v>
      </c>
      <c r="C10" s="1">
        <f>2*10^(-3)</f>
        <v>2E-3</v>
      </c>
      <c r="D10" s="1">
        <f>-20*10^(-3)</f>
        <v>-0.02</v>
      </c>
      <c r="E10" s="1">
        <f>189*10^(-3)</f>
        <v>0.189</v>
      </c>
      <c r="F10" s="1">
        <f>ATAN(D10/E10)</f>
        <v>-0.10542775112289078</v>
      </c>
    </row>
    <row r="11" spans="1:11" x14ac:dyDescent="0.3">
      <c r="A11">
        <v>14</v>
      </c>
      <c r="B11" s="1">
        <f t="shared" si="0"/>
        <v>0.24434609527920614</v>
      </c>
      <c r="C11" s="1">
        <f>2.5*10^(-3)</f>
        <v>2.5000000000000001E-3</v>
      </c>
      <c r="D11" s="1">
        <f>-20*10^(-3)</f>
        <v>-0.02</v>
      </c>
      <c r="E11" s="1">
        <f>151*10^(-3)</f>
        <v>0.151</v>
      </c>
      <c r="F11" s="1">
        <f>ATAN(D11/E11)</f>
        <v>-0.13168385355563758</v>
      </c>
    </row>
    <row r="12" spans="1:11" x14ac:dyDescent="0.3">
      <c r="A12">
        <v>16</v>
      </c>
      <c r="B12" s="1">
        <f t="shared" si="0"/>
        <v>0.27925268031909273</v>
      </c>
      <c r="C12" s="1">
        <f>2.5*10^(-3)</f>
        <v>2.5000000000000001E-3</v>
      </c>
      <c r="D12" s="1">
        <f>-20*10^(-3)</f>
        <v>-0.02</v>
      </c>
      <c r="E12" s="1">
        <f>141*10^(-3)</f>
        <v>0.14100000000000001</v>
      </c>
      <c r="F12" s="1">
        <f>ATAN(D12/E12)</f>
        <v>-0.14090400627120961</v>
      </c>
      <c r="I12" s="5"/>
    </row>
    <row r="13" spans="1:11" x14ac:dyDescent="0.3">
      <c r="A13">
        <v>20</v>
      </c>
      <c r="B13" s="1">
        <f t="shared" si="0"/>
        <v>0.3490658503988659</v>
      </c>
      <c r="C13" s="1">
        <f>2.5*10^(-3)</f>
        <v>2.5000000000000001E-3</v>
      </c>
      <c r="D13" s="1">
        <f>-20*10^(-3)</f>
        <v>-0.02</v>
      </c>
      <c r="E13" s="1">
        <f>112*10^(-3)</f>
        <v>0.112</v>
      </c>
      <c r="F13" s="1">
        <f>ATAN(D13/E13)</f>
        <v>-0.17670885607003661</v>
      </c>
    </row>
    <row r="16" spans="1:11" x14ac:dyDescent="0.3">
      <c r="B16" t="s">
        <v>12</v>
      </c>
    </row>
    <row r="17" spans="1:6" x14ac:dyDescent="0.3">
      <c r="B17" s="1" t="s">
        <v>13</v>
      </c>
      <c r="C17" s="1" t="s">
        <v>2</v>
      </c>
      <c r="D17" s="1" t="s">
        <v>4</v>
      </c>
      <c r="E17" s="1" t="s">
        <v>3</v>
      </c>
      <c r="F17" s="1" t="s">
        <v>5</v>
      </c>
    </row>
    <row r="18" spans="1:6" x14ac:dyDescent="0.3">
      <c r="B18" s="1">
        <v>0</v>
      </c>
      <c r="C18" s="1">
        <v>0</v>
      </c>
      <c r="D18" s="1">
        <v>0</v>
      </c>
      <c r="E18" s="1">
        <f>12*10^(-3)</f>
        <v>1.2E-2</v>
      </c>
      <c r="F18" s="1">
        <f>ATAN(D18/E18)</f>
        <v>0</v>
      </c>
    </row>
    <row r="19" spans="1:6" x14ac:dyDescent="0.3">
      <c r="A19">
        <v>3</v>
      </c>
      <c r="B19" s="1">
        <f t="shared" ref="B19:B25" si="1">RADIANS(A19)</f>
        <v>5.235987755982989E-2</v>
      </c>
      <c r="C19" s="1">
        <f>-4*10^(-3)</f>
        <v>-4.0000000000000001E-3</v>
      </c>
      <c r="D19" s="1">
        <f>-7.5*10^(-3)</f>
        <v>-7.4999999999999997E-3</v>
      </c>
      <c r="E19" s="1">
        <f>580*10^(-3)</f>
        <v>0.57999999999999996</v>
      </c>
      <c r="F19" s="1">
        <f t="shared" ref="F18:F25" si="2">ATAN(D19/E19)</f>
        <v>-1.2930313815176916E-2</v>
      </c>
    </row>
    <row r="20" spans="1:6" x14ac:dyDescent="0.3">
      <c r="A20">
        <v>5</v>
      </c>
      <c r="B20" s="1">
        <f t="shared" si="1"/>
        <v>8.7266462599716474E-2</v>
      </c>
      <c r="C20" s="1">
        <v>-7.5</v>
      </c>
      <c r="D20" s="1">
        <f>1*10^(-3)</f>
        <v>1E-3</v>
      </c>
      <c r="E20" s="1">
        <f>852*10^(-3)</f>
        <v>0.85199999999999998</v>
      </c>
      <c r="F20" s="1">
        <f t="shared" si="2"/>
        <v>1.1737083812239865E-3</v>
      </c>
    </row>
    <row r="21" spans="1:6" x14ac:dyDescent="0.3">
      <c r="A21">
        <v>6</v>
      </c>
      <c r="B21" s="1">
        <f t="shared" si="1"/>
        <v>0.10471975511965978</v>
      </c>
      <c r="C21" s="1">
        <f>-9.5*10^(-3)</f>
        <v>-9.4999999999999998E-3</v>
      </c>
      <c r="D21" s="1">
        <f>-5*10^(-3)</f>
        <v>-5.0000000000000001E-3</v>
      </c>
      <c r="E21" s="1">
        <f>338*10^(-3)</f>
        <v>0.33800000000000002</v>
      </c>
      <c r="F21" s="1">
        <f t="shared" si="2"/>
        <v>-1.4791820507172159E-2</v>
      </c>
    </row>
    <row r="22" spans="1:6" x14ac:dyDescent="0.3">
      <c r="A22">
        <v>8</v>
      </c>
      <c r="B22" s="1">
        <f t="shared" si="1"/>
        <v>0.13962634015954636</v>
      </c>
      <c r="C22" s="1">
        <v>-13.8</v>
      </c>
      <c r="D22" s="1">
        <f>-5*10^(-3)</f>
        <v>-5.0000000000000001E-3</v>
      </c>
      <c r="E22" s="1">
        <f>320*10^(-3)</f>
        <v>0.32</v>
      </c>
      <c r="F22" s="1">
        <f t="shared" si="2"/>
        <v>-1.5623728620476831E-2</v>
      </c>
    </row>
    <row r="23" spans="1:6" x14ac:dyDescent="0.3">
      <c r="A23">
        <v>10</v>
      </c>
      <c r="B23" s="1">
        <f t="shared" si="1"/>
        <v>0.17453292519943295</v>
      </c>
      <c r="C23" s="1">
        <f>-16*10^(-3)</f>
        <v>-1.6E-2</v>
      </c>
      <c r="D23" s="1">
        <f>-5*10^(-3)</f>
        <v>-5.0000000000000001E-3</v>
      </c>
      <c r="E23" s="1">
        <f>250*10^(-3)</f>
        <v>0.25</v>
      </c>
      <c r="F23" s="1">
        <f t="shared" si="2"/>
        <v>-1.9997333973150535E-2</v>
      </c>
    </row>
    <row r="24" spans="1:6" x14ac:dyDescent="0.3">
      <c r="A24">
        <v>12</v>
      </c>
      <c r="B24" s="1">
        <f t="shared" si="1"/>
        <v>0.20943951023931956</v>
      </c>
      <c r="C24" s="1">
        <f>-19.5*10^(-3)</f>
        <v>-1.95E-2</v>
      </c>
      <c r="D24" s="1">
        <v>0</v>
      </c>
      <c r="E24" s="1">
        <f>273*10^(-3)</f>
        <v>0.27300000000000002</v>
      </c>
      <c r="F24" s="1">
        <f t="shared" si="2"/>
        <v>0</v>
      </c>
    </row>
    <row r="25" spans="1:6" x14ac:dyDescent="0.3">
      <c r="A25">
        <v>15</v>
      </c>
      <c r="B25" s="1">
        <f t="shared" si="1"/>
        <v>0.26179938779914941</v>
      </c>
      <c r="C25" s="1">
        <f>-25*10^(-3)</f>
        <v>-2.5000000000000001E-2</v>
      </c>
      <c r="D25" s="1">
        <v>0</v>
      </c>
      <c r="E25" s="1">
        <f>175*10^(-3)</f>
        <v>0.17500000000000002</v>
      </c>
      <c r="F25" s="1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Keroan Ringger</dc:creator>
  <dc:description/>
  <cp:lastModifiedBy>Keroan Ringger</cp:lastModifiedBy>
  <cp:revision>1</cp:revision>
  <dcterms:created xsi:type="dcterms:W3CDTF">2021-10-09T14:42:32Z</dcterms:created>
  <dcterms:modified xsi:type="dcterms:W3CDTF">2021-10-17T17:42:10Z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