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urso CDO_insta_Fer Face\modulo 04_novo\"/>
    </mc:Choice>
  </mc:AlternateContent>
  <xr:revisionPtr revIDLastSave="0" documentId="13_ncr:1_{87450238-184F-4E69-AA70-7D6F2E218BCF}" xr6:coauthVersionLast="47" xr6:coauthVersionMax="47" xr10:uidLastSave="{00000000-0000-0000-0000-000000000000}"/>
  <bookViews>
    <workbookView xWindow="-120" yWindow="-120" windowWidth="20730" windowHeight="11310" tabRatio="929" firstSheet="5" activeTab="8" xr2:uid="{20333BB2-755F-8046-82FD-F8578CF86D58}"/>
  </bookViews>
  <sheets>
    <sheet name="Capa" sheetId="1" r:id="rId1"/>
    <sheet name="Suposições" sheetId="6" r:id="rId2"/>
    <sheet name="INPUTS Leads- Trafego pago" sheetId="2" r:id="rId3"/>
    <sheet name="Source- Trafego pago " sheetId="7" r:id="rId4"/>
    <sheet name="INPUTS Leads- Trafego organico" sheetId="3" r:id="rId5"/>
    <sheet name="OUTPUT Desempenho de Vendas" sheetId="9" r:id="rId6"/>
    <sheet name="Source- Trafego organico" sheetId="8" r:id="rId7"/>
    <sheet name="Projeção estudo Leads Organico" sheetId="10" r:id="rId8"/>
    <sheet name="Projeção estudo Leads Email" sheetId="11" r:id="rId9"/>
  </sheets>
  <definedNames>
    <definedName name="solver_adj" localSheetId="8" hidden="1">'Projeção estudo Leads Email'!$C$21:$C$22</definedName>
    <definedName name="solver_adj" localSheetId="7" hidden="1">'Projeção estudo Leads Organico'!$C$21:$C$22</definedName>
    <definedName name="solver_cvg" localSheetId="8" hidden="1">0.0001</definedName>
    <definedName name="solver_cvg" localSheetId="7" hidden="1">0.0001</definedName>
    <definedName name="solver_drv" localSheetId="8" hidden="1">1</definedName>
    <definedName name="solver_drv" localSheetId="7" hidden="1">1</definedName>
    <definedName name="solver_eng" localSheetId="8" hidden="1">1</definedName>
    <definedName name="solver_eng" localSheetId="7" hidden="1">1</definedName>
    <definedName name="solver_est" localSheetId="8" hidden="1">1</definedName>
    <definedName name="solver_est" localSheetId="7" hidden="1">1</definedName>
    <definedName name="solver_itr" localSheetId="8" hidden="1">2147483647</definedName>
    <definedName name="solver_itr" localSheetId="7" hidden="1">2147483647</definedName>
    <definedName name="solver_lhs1" localSheetId="8" hidden="1">'Projeção estudo Leads Email'!$C$23</definedName>
    <definedName name="solver_lhs1" localSheetId="7" hidden="1">'Projeção estudo Leads Organico'!$C$23</definedName>
    <definedName name="solver_mip" localSheetId="8" hidden="1">2147483647</definedName>
    <definedName name="solver_mip" localSheetId="7" hidden="1">2147483647</definedName>
    <definedName name="solver_mni" localSheetId="8" hidden="1">30</definedName>
    <definedName name="solver_mni" localSheetId="7" hidden="1">30</definedName>
    <definedName name="solver_mrt" localSheetId="8" hidden="1">0.075</definedName>
    <definedName name="solver_mrt" localSheetId="7" hidden="1">0.075</definedName>
    <definedName name="solver_msl" localSheetId="8" hidden="1">2</definedName>
    <definedName name="solver_msl" localSheetId="7" hidden="1">2</definedName>
    <definedName name="solver_neg" localSheetId="8" hidden="1">1</definedName>
    <definedName name="solver_neg" localSheetId="7" hidden="1">1</definedName>
    <definedName name="solver_nod" localSheetId="8" hidden="1">2147483647</definedName>
    <definedName name="solver_nod" localSheetId="7" hidden="1">2147483647</definedName>
    <definedName name="solver_num" localSheetId="8" hidden="1">1</definedName>
    <definedName name="solver_num" localSheetId="7" hidden="1">1</definedName>
    <definedName name="solver_nwt" localSheetId="8" hidden="1">1</definedName>
    <definedName name="solver_nwt" localSheetId="7" hidden="1">1</definedName>
    <definedName name="solver_opt" localSheetId="8" hidden="1">'Projeção estudo Leads Email'!$C$44</definedName>
    <definedName name="solver_opt" localSheetId="7" hidden="1">'Projeção estudo Leads Organico'!$C$44</definedName>
    <definedName name="solver_pre" localSheetId="8" hidden="1">0.000001</definedName>
    <definedName name="solver_pre" localSheetId="7" hidden="1">0.000001</definedName>
    <definedName name="solver_rbv" localSheetId="8" hidden="1">1</definedName>
    <definedName name="solver_rbv" localSheetId="7" hidden="1">1</definedName>
    <definedName name="solver_rel1" localSheetId="8" hidden="1">2</definedName>
    <definedName name="solver_rel1" localSheetId="7" hidden="1">2</definedName>
    <definedName name="solver_rhs1" localSheetId="8" hidden="1">1</definedName>
    <definedName name="solver_rhs1" localSheetId="7" hidden="1">1</definedName>
    <definedName name="solver_rlx" localSheetId="8" hidden="1">2</definedName>
    <definedName name="solver_rlx" localSheetId="7" hidden="1">2</definedName>
    <definedName name="solver_rsd" localSheetId="8" hidden="1">0</definedName>
    <definedName name="solver_rsd" localSheetId="7" hidden="1">0</definedName>
    <definedName name="solver_scl" localSheetId="8" hidden="1">1</definedName>
    <definedName name="solver_scl" localSheetId="7" hidden="1">1</definedName>
    <definedName name="solver_sho" localSheetId="8" hidden="1">2</definedName>
    <definedName name="solver_sho" localSheetId="7" hidden="1">2</definedName>
    <definedName name="solver_ssz" localSheetId="8" hidden="1">100</definedName>
    <definedName name="solver_ssz" localSheetId="7" hidden="1">100</definedName>
    <definedName name="solver_tim" localSheetId="8" hidden="1">2147483647</definedName>
    <definedName name="solver_tim" localSheetId="7" hidden="1">2147483647</definedName>
    <definedName name="solver_tol" localSheetId="8" hidden="1">0.01</definedName>
    <definedName name="solver_tol" localSheetId="7" hidden="1">0.01</definedName>
    <definedName name="solver_typ" localSheetId="8" hidden="1">2</definedName>
    <definedName name="solver_typ" localSheetId="7" hidden="1">2</definedName>
    <definedName name="solver_val" localSheetId="8" hidden="1">0</definedName>
    <definedName name="solver_val" localSheetId="7" hidden="1">0</definedName>
    <definedName name="solver_ver" localSheetId="8" hidden="1">3</definedName>
    <definedName name="solver_ver" localSheetId="7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9" l="1"/>
  <c r="B24" i="9"/>
  <c r="B19" i="9"/>
  <c r="B14" i="9"/>
  <c r="B16" i="9"/>
  <c r="B9" i="9"/>
  <c r="B21" i="9" l="1"/>
  <c r="B31" i="9"/>
  <c r="B26" i="9"/>
  <c r="B11" i="9"/>
  <c r="Q21" i="9" l="1"/>
  <c r="K16" i="9"/>
  <c r="O21" i="9"/>
  <c r="P21" i="9"/>
  <c r="R21" i="9"/>
  <c r="S21" i="9"/>
  <c r="T21" i="9"/>
  <c r="U21" i="9"/>
  <c r="V21" i="9"/>
  <c r="W21" i="9"/>
  <c r="X21" i="9"/>
  <c r="Y21" i="9"/>
  <c r="Z21" i="9"/>
  <c r="P30" i="2" l="1"/>
  <c r="Q30" i="2"/>
  <c r="R30" i="2"/>
  <c r="S30" i="2"/>
  <c r="T30" i="2"/>
  <c r="U30" i="2"/>
  <c r="V30" i="2"/>
  <c r="W30" i="2"/>
  <c r="X30" i="2"/>
  <c r="O30" i="2"/>
  <c r="P12" i="3"/>
  <c r="Q12" i="3"/>
  <c r="R12" i="3"/>
  <c r="S12" i="3"/>
  <c r="T12" i="3"/>
  <c r="U12" i="3"/>
  <c r="V12" i="3"/>
  <c r="W12" i="3"/>
  <c r="X12" i="3"/>
  <c r="Y12" i="3"/>
  <c r="Z12" i="3"/>
  <c r="O12" i="3"/>
  <c r="P18" i="3"/>
  <c r="Q18" i="3"/>
  <c r="R18" i="3"/>
  <c r="S18" i="3"/>
  <c r="T18" i="3"/>
  <c r="U18" i="3"/>
  <c r="V18" i="3"/>
  <c r="W18" i="3"/>
  <c r="X18" i="3"/>
  <c r="Y18" i="3"/>
  <c r="Z18" i="3"/>
  <c r="O18" i="3"/>
  <c r="O20" i="9"/>
  <c r="P20" i="9" s="1"/>
  <c r="Q20" i="9" s="1"/>
  <c r="R20" i="9" s="1"/>
  <c r="S20" i="9" s="1"/>
  <c r="T20" i="9" s="1"/>
  <c r="U20" i="9" s="1"/>
  <c r="V20" i="9" s="1"/>
  <c r="W20" i="9" s="1"/>
  <c r="X20" i="9" s="1"/>
  <c r="Y20" i="9" s="1"/>
  <c r="Z20" i="9" s="1"/>
  <c r="O30" i="9"/>
  <c r="P30" i="9" s="1"/>
  <c r="Q30" i="9" s="1"/>
  <c r="R30" i="9" s="1"/>
  <c r="S30" i="9" s="1"/>
  <c r="T30" i="9" s="1"/>
  <c r="U30" i="9" s="1"/>
  <c r="V30" i="9" s="1"/>
  <c r="W30" i="9" s="1"/>
  <c r="X30" i="9" s="1"/>
  <c r="Y30" i="9" s="1"/>
  <c r="Z30" i="9" s="1"/>
  <c r="O25" i="9"/>
  <c r="P25" i="9" s="1"/>
  <c r="Q25" i="9" s="1"/>
  <c r="R25" i="9" s="1"/>
  <c r="S25" i="9" s="1"/>
  <c r="T25" i="9" s="1"/>
  <c r="U25" i="9" s="1"/>
  <c r="V25" i="9" s="1"/>
  <c r="W25" i="9" s="1"/>
  <c r="X25" i="9" s="1"/>
  <c r="Y25" i="9" s="1"/>
  <c r="Z25" i="9" s="1"/>
  <c r="O15" i="9"/>
  <c r="P15" i="9" s="1"/>
  <c r="Q15" i="9" s="1"/>
  <c r="R15" i="9" s="1"/>
  <c r="S15" i="9" s="1"/>
  <c r="T15" i="9" s="1"/>
  <c r="U15" i="9" s="1"/>
  <c r="V15" i="9" s="1"/>
  <c r="W15" i="9" s="1"/>
  <c r="X15" i="9" s="1"/>
  <c r="Y15" i="9" s="1"/>
  <c r="Z15" i="9" s="1"/>
  <c r="O10" i="9"/>
  <c r="P10" i="9" s="1"/>
  <c r="Q10" i="9" s="1"/>
  <c r="R10" i="9" s="1"/>
  <c r="S10" i="9" s="1"/>
  <c r="T10" i="9" s="1"/>
  <c r="U10" i="9" s="1"/>
  <c r="V10" i="9" s="1"/>
  <c r="W10" i="9" s="1"/>
  <c r="X10" i="9" s="1"/>
  <c r="Y10" i="9" s="1"/>
  <c r="Z10" i="9" s="1"/>
  <c r="E6" i="2" l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N29" i="7"/>
  <c r="O26" i="7"/>
  <c r="O25" i="7"/>
  <c r="O24" i="7"/>
  <c r="D6" i="3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E37" i="11"/>
  <c r="G37" i="11" s="1"/>
  <c r="I37" i="11" s="1"/>
  <c r="K37" i="11" s="1"/>
  <c r="D37" i="11"/>
  <c r="F37" i="11" s="1"/>
  <c r="H37" i="11" s="1"/>
  <c r="J37" i="11" s="1"/>
  <c r="C37" i="11"/>
  <c r="E36" i="11"/>
  <c r="G36" i="11" s="1"/>
  <c r="I36" i="11" s="1"/>
  <c r="K36" i="11" s="1"/>
  <c r="C36" i="11"/>
  <c r="E35" i="11"/>
  <c r="C35" i="11"/>
  <c r="D36" i="11" s="1"/>
  <c r="F36" i="11" s="1"/>
  <c r="H36" i="11" s="1"/>
  <c r="J36" i="11" s="1"/>
  <c r="E34" i="11"/>
  <c r="D34" i="11"/>
  <c r="F34" i="11" s="1"/>
  <c r="H34" i="11" s="1"/>
  <c r="J34" i="11" s="1"/>
  <c r="C34" i="11"/>
  <c r="D35" i="11" s="1"/>
  <c r="F35" i="11" s="1"/>
  <c r="H35" i="11" s="1"/>
  <c r="J35" i="11" s="1"/>
  <c r="E33" i="11"/>
  <c r="G33" i="11" s="1"/>
  <c r="I33" i="11" s="1"/>
  <c r="K33" i="11" s="1"/>
  <c r="D33" i="11"/>
  <c r="F33" i="11" s="1"/>
  <c r="H33" i="11" s="1"/>
  <c r="J33" i="11" s="1"/>
  <c r="C33" i="11"/>
  <c r="E32" i="11"/>
  <c r="G32" i="11" s="1"/>
  <c r="I32" i="11" s="1"/>
  <c r="K32" i="11" s="1"/>
  <c r="C32" i="11"/>
  <c r="E31" i="11"/>
  <c r="C31" i="11"/>
  <c r="D32" i="11" s="1"/>
  <c r="F32" i="11" s="1"/>
  <c r="H32" i="11" s="1"/>
  <c r="J32" i="11" s="1"/>
  <c r="E30" i="11"/>
  <c r="D30" i="11"/>
  <c r="F30" i="11" s="1"/>
  <c r="H30" i="11" s="1"/>
  <c r="J30" i="11" s="1"/>
  <c r="C30" i="11"/>
  <c r="D31" i="11" s="1"/>
  <c r="F31" i="11" s="1"/>
  <c r="H31" i="11" s="1"/>
  <c r="J31" i="11" s="1"/>
  <c r="E29" i="11"/>
  <c r="G29" i="11" s="1"/>
  <c r="I29" i="11" s="1"/>
  <c r="K29" i="11" s="1"/>
  <c r="D29" i="11"/>
  <c r="F29" i="11" s="1"/>
  <c r="H29" i="11" s="1"/>
  <c r="J29" i="11" s="1"/>
  <c r="C29" i="11"/>
  <c r="E28" i="11"/>
  <c r="G28" i="11" s="1"/>
  <c r="C28" i="11"/>
  <c r="C27" i="11"/>
  <c r="D28" i="11" s="1"/>
  <c r="F28" i="11" s="1"/>
  <c r="C26" i="11"/>
  <c r="C23" i="11"/>
  <c r="E37" i="10"/>
  <c r="G37" i="10" s="1"/>
  <c r="I37" i="10" s="1"/>
  <c r="K37" i="10" s="1"/>
  <c r="D37" i="10"/>
  <c r="F37" i="10" s="1"/>
  <c r="H37" i="10" s="1"/>
  <c r="J37" i="10" s="1"/>
  <c r="C37" i="10"/>
  <c r="E36" i="10"/>
  <c r="G36" i="10" s="1"/>
  <c r="I36" i="10" s="1"/>
  <c r="K36" i="10" s="1"/>
  <c r="C36" i="10"/>
  <c r="E35" i="10"/>
  <c r="G35" i="10" s="1"/>
  <c r="I35" i="10" s="1"/>
  <c r="K35" i="10" s="1"/>
  <c r="C35" i="10"/>
  <c r="E34" i="10"/>
  <c r="C34" i="10"/>
  <c r="D36" i="10" s="1"/>
  <c r="F36" i="10" s="1"/>
  <c r="H36" i="10" s="1"/>
  <c r="J36" i="10" s="1"/>
  <c r="G33" i="10"/>
  <c r="I33" i="10" s="1"/>
  <c r="K33" i="10" s="1"/>
  <c r="E33" i="10"/>
  <c r="D33" i="10"/>
  <c r="F33" i="10" s="1"/>
  <c r="H33" i="10" s="1"/>
  <c r="J33" i="10" s="1"/>
  <c r="C33" i="10"/>
  <c r="D35" i="10" s="1"/>
  <c r="F35" i="10" s="1"/>
  <c r="H35" i="10" s="1"/>
  <c r="J35" i="10" s="1"/>
  <c r="E32" i="10"/>
  <c r="G32" i="10" s="1"/>
  <c r="I32" i="10" s="1"/>
  <c r="K32" i="10" s="1"/>
  <c r="D32" i="10"/>
  <c r="F32" i="10" s="1"/>
  <c r="H32" i="10" s="1"/>
  <c r="J32" i="10" s="1"/>
  <c r="C32" i="10"/>
  <c r="D34" i="10" s="1"/>
  <c r="F34" i="10" s="1"/>
  <c r="H34" i="10" s="1"/>
  <c r="J34" i="10" s="1"/>
  <c r="E31" i="10"/>
  <c r="G31" i="10" s="1"/>
  <c r="I31" i="10" s="1"/>
  <c r="K31" i="10" s="1"/>
  <c r="C31" i="10"/>
  <c r="E30" i="10"/>
  <c r="C30" i="10"/>
  <c r="D31" i="10" s="1"/>
  <c r="F31" i="10" s="1"/>
  <c r="H31" i="10" s="1"/>
  <c r="J31" i="10" s="1"/>
  <c r="G29" i="10"/>
  <c r="I29" i="10" s="1"/>
  <c r="K29" i="10" s="1"/>
  <c r="E29" i="10"/>
  <c r="D29" i="10"/>
  <c r="F29" i="10" s="1"/>
  <c r="H29" i="10" s="1"/>
  <c r="J29" i="10" s="1"/>
  <c r="C29" i="10"/>
  <c r="D30" i="10" s="1"/>
  <c r="F30" i="10" s="1"/>
  <c r="H30" i="10" s="1"/>
  <c r="J30" i="10" s="1"/>
  <c r="E28" i="10"/>
  <c r="G28" i="10" s="1"/>
  <c r="D28" i="10"/>
  <c r="F28" i="10" s="1"/>
  <c r="C28" i="10"/>
  <c r="C27" i="10"/>
  <c r="C26" i="10"/>
  <c r="C23" i="10"/>
  <c r="E19" i="9"/>
  <c r="E21" i="9" s="1"/>
  <c r="F19" i="9"/>
  <c r="F21" i="9" s="1"/>
  <c r="G19" i="9"/>
  <c r="G21" i="9" s="1"/>
  <c r="H19" i="9"/>
  <c r="H21" i="9" s="1"/>
  <c r="I19" i="9"/>
  <c r="J19" i="9"/>
  <c r="J21" i="9" s="1"/>
  <c r="K19" i="9"/>
  <c r="K21" i="9" s="1"/>
  <c r="L19" i="9"/>
  <c r="L21" i="9" s="1"/>
  <c r="M19" i="9"/>
  <c r="N19" i="9"/>
  <c r="N21" i="9" s="1"/>
  <c r="D19" i="9"/>
  <c r="D21" i="9" s="1"/>
  <c r="I21" i="9"/>
  <c r="M21" i="9"/>
  <c r="C21" i="9"/>
  <c r="D14" i="9"/>
  <c r="D16" i="9" s="1"/>
  <c r="E14" i="9"/>
  <c r="E16" i="9" s="1"/>
  <c r="F14" i="9"/>
  <c r="F16" i="9" s="1"/>
  <c r="G14" i="9"/>
  <c r="G16" i="9" s="1"/>
  <c r="H14" i="9"/>
  <c r="H16" i="9" s="1"/>
  <c r="I14" i="9"/>
  <c r="I16" i="9" s="1"/>
  <c r="J14" i="9"/>
  <c r="J16" i="9" s="1"/>
  <c r="K14" i="9"/>
  <c r="L14" i="9"/>
  <c r="L16" i="9" s="1"/>
  <c r="M14" i="9"/>
  <c r="M16" i="9" s="1"/>
  <c r="N14" i="9"/>
  <c r="N16" i="9" s="1"/>
  <c r="C14" i="9"/>
  <c r="C11" i="9"/>
  <c r="E9" i="9"/>
  <c r="E11" i="9" s="1"/>
  <c r="F9" i="9"/>
  <c r="G9" i="9"/>
  <c r="H9" i="9"/>
  <c r="H11" i="9" s="1"/>
  <c r="I9" i="9"/>
  <c r="I11" i="9" s="1"/>
  <c r="J9" i="9"/>
  <c r="K9" i="9"/>
  <c r="L9" i="9"/>
  <c r="L11" i="9" s="1"/>
  <c r="M9" i="9"/>
  <c r="M11" i="9" s="1"/>
  <c r="N9" i="9"/>
  <c r="D9" i="9"/>
  <c r="D24" i="9"/>
  <c r="D26" i="9" s="1"/>
  <c r="E24" i="9"/>
  <c r="E26" i="9" s="1"/>
  <c r="F24" i="9"/>
  <c r="F26" i="9" s="1"/>
  <c r="G24" i="9"/>
  <c r="G26" i="9" s="1"/>
  <c r="H24" i="9"/>
  <c r="H26" i="9" s="1"/>
  <c r="I24" i="9"/>
  <c r="I26" i="9" s="1"/>
  <c r="J24" i="9"/>
  <c r="J26" i="9" s="1"/>
  <c r="K24" i="9"/>
  <c r="K26" i="9" s="1"/>
  <c r="L24" i="9"/>
  <c r="L26" i="9" s="1"/>
  <c r="M24" i="9"/>
  <c r="M26" i="9" s="1"/>
  <c r="N24" i="9"/>
  <c r="N26" i="9" s="1"/>
  <c r="C24" i="9"/>
  <c r="C26" i="9" s="1"/>
  <c r="D29" i="9"/>
  <c r="D31" i="9" s="1"/>
  <c r="E29" i="9"/>
  <c r="E31" i="9" s="1"/>
  <c r="F29" i="9"/>
  <c r="F31" i="9" s="1"/>
  <c r="G29" i="9"/>
  <c r="G31" i="9" s="1"/>
  <c r="H29" i="9"/>
  <c r="H31" i="9" s="1"/>
  <c r="I29" i="9"/>
  <c r="I31" i="9" s="1"/>
  <c r="J29" i="9"/>
  <c r="J31" i="9" s="1"/>
  <c r="K29" i="9"/>
  <c r="K31" i="9" s="1"/>
  <c r="L29" i="9"/>
  <c r="L31" i="9" s="1"/>
  <c r="M29" i="9"/>
  <c r="M31" i="9" s="1"/>
  <c r="N29" i="9"/>
  <c r="N31" i="9" s="1"/>
  <c r="C29" i="9"/>
  <c r="C31" i="9" s="1"/>
  <c r="C11" i="2" a="1"/>
  <c r="C11" i="2" s="1"/>
  <c r="E13" i="2"/>
  <c r="C12" i="2" a="1"/>
  <c r="F12" i="2" s="1"/>
  <c r="C14" i="2" a="1"/>
  <c r="F14" i="2" s="1"/>
  <c r="B15" i="2"/>
  <c r="C19" i="2" a="1"/>
  <c r="C19" i="2" s="1"/>
  <c r="C22" i="2" a="1"/>
  <c r="F22" i="2" s="1"/>
  <c r="B23" i="2"/>
  <c r="C27" i="2" a="1"/>
  <c r="C27" i="2" s="1"/>
  <c r="C30" i="2" a="1"/>
  <c r="F30" i="2" s="1"/>
  <c r="B31" i="2"/>
  <c r="C34" i="2"/>
  <c r="D34" i="2"/>
  <c r="E34" i="2"/>
  <c r="F34" i="2"/>
  <c r="G34" i="2"/>
  <c r="H34" i="2"/>
  <c r="I34" i="2"/>
  <c r="J34" i="2"/>
  <c r="K34" i="2"/>
  <c r="L34" i="2"/>
  <c r="M34" i="2"/>
  <c r="N34" i="2"/>
  <c r="D6" i="9"/>
  <c r="E6" i="9" s="1"/>
  <c r="F6" i="9" s="1"/>
  <c r="G6" i="9" s="1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Z6" i="9" s="1"/>
  <c r="B13" i="3"/>
  <c r="B19" i="3"/>
  <c r="C33" i="9" l="1"/>
  <c r="N33" i="9"/>
  <c r="J33" i="9"/>
  <c r="F33" i="9"/>
  <c r="M34" i="9"/>
  <c r="J11" i="9"/>
  <c r="J34" i="9" s="1"/>
  <c r="I12" i="2"/>
  <c r="I34" i="9"/>
  <c r="E34" i="9"/>
  <c r="F11" i="9"/>
  <c r="C33" i="2"/>
  <c r="L34" i="9"/>
  <c r="H34" i="9"/>
  <c r="M13" i="2"/>
  <c r="K33" i="9"/>
  <c r="G33" i="9"/>
  <c r="N11" i="9"/>
  <c r="N34" i="9" s="1"/>
  <c r="C16" i="9"/>
  <c r="C34" i="9" s="1"/>
  <c r="I14" i="2"/>
  <c r="D14" i="2"/>
  <c r="L13" i="2"/>
  <c r="D13" i="2"/>
  <c r="H12" i="2"/>
  <c r="D33" i="9"/>
  <c r="D11" i="9"/>
  <c r="D34" i="9" s="1"/>
  <c r="F34" i="9"/>
  <c r="N14" i="2"/>
  <c r="K14" i="2"/>
  <c r="E14" i="2"/>
  <c r="M22" i="2"/>
  <c r="M14" i="2"/>
  <c r="H14" i="2"/>
  <c r="C14" i="2"/>
  <c r="I13" i="2"/>
  <c r="M12" i="2"/>
  <c r="E12" i="2"/>
  <c r="L14" i="2"/>
  <c r="G14" i="2"/>
  <c r="H13" i="2"/>
  <c r="L12" i="2"/>
  <c r="D12" i="2"/>
  <c r="M33" i="9"/>
  <c r="I33" i="9"/>
  <c r="E33" i="9"/>
  <c r="L33" i="9"/>
  <c r="H33" i="9"/>
  <c r="K11" i="9"/>
  <c r="K34" i="9" s="1"/>
  <c r="G11" i="9"/>
  <c r="G34" i="9" s="1"/>
  <c r="P6" i="3"/>
  <c r="O13" i="3"/>
  <c r="O19" i="3"/>
  <c r="I28" i="11"/>
  <c r="H28" i="11"/>
  <c r="C44" i="11"/>
  <c r="C41" i="11"/>
  <c r="G30" i="11"/>
  <c r="I30" i="11" s="1"/>
  <c r="K30" i="11" s="1"/>
  <c r="G34" i="11"/>
  <c r="I34" i="11" s="1"/>
  <c r="K34" i="11" s="1"/>
  <c r="G31" i="11"/>
  <c r="I31" i="11" s="1"/>
  <c r="K31" i="11" s="1"/>
  <c r="G35" i="11"/>
  <c r="I35" i="11" s="1"/>
  <c r="K35" i="11" s="1"/>
  <c r="I28" i="10"/>
  <c r="C44" i="10"/>
  <c r="C41" i="10"/>
  <c r="H28" i="10"/>
  <c r="G30" i="10"/>
  <c r="I30" i="10" s="1"/>
  <c r="K30" i="10" s="1"/>
  <c r="G34" i="10"/>
  <c r="I34" i="10" s="1"/>
  <c r="K34" i="10" s="1"/>
  <c r="F11" i="2"/>
  <c r="I22" i="2"/>
  <c r="M11" i="2"/>
  <c r="I11" i="2"/>
  <c r="E11" i="2"/>
  <c r="E22" i="2"/>
  <c r="J14" i="2"/>
  <c r="N13" i="2"/>
  <c r="K13" i="2"/>
  <c r="G13" i="2"/>
  <c r="C13" i="2"/>
  <c r="K12" i="2"/>
  <c r="G12" i="2"/>
  <c r="C12" i="2"/>
  <c r="L11" i="2"/>
  <c r="H11" i="2"/>
  <c r="D11" i="2"/>
  <c r="J11" i="2"/>
  <c r="J13" i="2"/>
  <c r="F13" i="2"/>
  <c r="N12" i="2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J12" i="2"/>
  <c r="N11" i="2"/>
  <c r="O11" i="2" s="1"/>
  <c r="K11" i="2"/>
  <c r="G11" i="2"/>
  <c r="G29" i="2"/>
  <c r="K28" i="2"/>
  <c r="J21" i="2"/>
  <c r="F21" i="2"/>
  <c r="N20" i="2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J20" i="2"/>
  <c r="F20" i="2"/>
  <c r="N19" i="2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J19" i="2"/>
  <c r="F19" i="2"/>
  <c r="M29" i="2"/>
  <c r="E29" i="2"/>
  <c r="L22" i="2"/>
  <c r="H22" i="2"/>
  <c r="D22" i="2"/>
  <c r="M21" i="2"/>
  <c r="I21" i="2"/>
  <c r="E21" i="2"/>
  <c r="M20" i="2"/>
  <c r="I20" i="2"/>
  <c r="E20" i="2"/>
  <c r="M19" i="2"/>
  <c r="I19" i="2"/>
  <c r="E19" i="2"/>
  <c r="K29" i="2"/>
  <c r="C29" i="2"/>
  <c r="N22" i="2"/>
  <c r="K22" i="2"/>
  <c r="G22" i="2"/>
  <c r="C22" i="2"/>
  <c r="L21" i="2"/>
  <c r="H21" i="2"/>
  <c r="D21" i="2"/>
  <c r="L20" i="2"/>
  <c r="H20" i="2"/>
  <c r="D20" i="2"/>
  <c r="L19" i="2"/>
  <c r="H19" i="2"/>
  <c r="D19" i="2"/>
  <c r="N29" i="2"/>
  <c r="I29" i="2"/>
  <c r="M28" i="2"/>
  <c r="J22" i="2"/>
  <c r="N21" i="2"/>
  <c r="K21" i="2"/>
  <c r="G21" i="2"/>
  <c r="C21" i="2"/>
  <c r="K20" i="2"/>
  <c r="G20" i="2"/>
  <c r="C20" i="2"/>
  <c r="K19" i="2"/>
  <c r="G19" i="2"/>
  <c r="M30" i="2"/>
  <c r="I30" i="2"/>
  <c r="E30" i="2"/>
  <c r="J29" i="2"/>
  <c r="F29" i="2"/>
  <c r="N28" i="2"/>
  <c r="J28" i="2"/>
  <c r="F28" i="2"/>
  <c r="N27" i="2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J27" i="2"/>
  <c r="F27" i="2"/>
  <c r="L30" i="2"/>
  <c r="H30" i="2"/>
  <c r="D30" i="2"/>
  <c r="I28" i="2"/>
  <c r="E28" i="2"/>
  <c r="M27" i="2"/>
  <c r="I27" i="2"/>
  <c r="E27" i="2"/>
  <c r="N30" i="2"/>
  <c r="K30" i="2"/>
  <c r="G30" i="2"/>
  <c r="C30" i="2"/>
  <c r="L29" i="2"/>
  <c r="H29" i="2"/>
  <c r="D29" i="2"/>
  <c r="L28" i="2"/>
  <c r="H28" i="2"/>
  <c r="D28" i="2"/>
  <c r="L27" i="2"/>
  <c r="H27" i="2"/>
  <c r="D27" i="2"/>
  <c r="J30" i="2"/>
  <c r="G28" i="2"/>
  <c r="C28" i="2"/>
  <c r="K27" i="2"/>
  <c r="G27" i="2"/>
  <c r="C22" i="3"/>
  <c r="C18" i="3" a="1"/>
  <c r="C18" i="3" s="1"/>
  <c r="C11" i="3" a="1"/>
  <c r="C11" i="3" s="1"/>
  <c r="C17" i="3" a="1"/>
  <c r="C17" i="3" s="1"/>
  <c r="C12" i="3" a="1"/>
  <c r="C12" i="3" s="1"/>
  <c r="D7" i="3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D22" i="8"/>
  <c r="C22" i="8" s="1"/>
  <c r="D23" i="8"/>
  <c r="C23" i="8" s="1"/>
  <c r="D24" i="8"/>
  <c r="C24" i="8" s="1"/>
  <c r="D25" i="8"/>
  <c r="C25" i="8" s="1"/>
  <c r="D26" i="8"/>
  <c r="C26" i="8" s="1"/>
  <c r="D27" i="8"/>
  <c r="C27" i="8" s="1"/>
  <c r="C28" i="8"/>
  <c r="D28" i="8"/>
  <c r="D29" i="8"/>
  <c r="C29" i="8" s="1"/>
  <c r="D30" i="8"/>
  <c r="C30" i="8" s="1"/>
  <c r="D31" i="8"/>
  <c r="C31" i="8" s="1"/>
  <c r="C32" i="8"/>
  <c r="D32" i="8"/>
  <c r="D21" i="8"/>
  <c r="C21" i="8"/>
  <c r="F32" i="8"/>
  <c r="F31" i="8"/>
  <c r="F30" i="8"/>
  <c r="F29" i="8"/>
  <c r="F28" i="8"/>
  <c r="F27" i="8"/>
  <c r="F26" i="8"/>
  <c r="F25" i="8"/>
  <c r="F24" i="8"/>
  <c r="F23" i="8"/>
  <c r="F22" i="8"/>
  <c r="F21" i="8"/>
  <c r="C4" i="8"/>
  <c r="D5" i="8"/>
  <c r="D6" i="8"/>
  <c r="D7" i="8"/>
  <c r="D8" i="8"/>
  <c r="D9" i="8"/>
  <c r="D10" i="8"/>
  <c r="D11" i="8"/>
  <c r="D12" i="8"/>
  <c r="D13" i="8"/>
  <c r="D14" i="8"/>
  <c r="D15" i="8"/>
  <c r="D4" i="8"/>
  <c r="O33" i="2" l="1"/>
  <c r="P11" i="2"/>
  <c r="O29" i="9"/>
  <c r="O31" i="9" s="1"/>
  <c r="O24" i="9"/>
  <c r="O26" i="9" s="1"/>
  <c r="C23" i="3"/>
  <c r="K33" i="2"/>
  <c r="O13" i="2"/>
  <c r="O15" i="2" s="1"/>
  <c r="O21" i="2"/>
  <c r="O23" i="2" s="1"/>
  <c r="O14" i="9" s="1"/>
  <c r="O16" i="9" s="1"/>
  <c r="O28" i="2"/>
  <c r="O29" i="2" s="1"/>
  <c r="O31" i="2" s="1"/>
  <c r="O19" i="9" s="1"/>
  <c r="O22" i="3"/>
  <c r="Q6" i="3"/>
  <c r="P13" i="3"/>
  <c r="P24" i="9" s="1"/>
  <c r="P26" i="9" s="1"/>
  <c r="P19" i="3"/>
  <c r="J28" i="11"/>
  <c r="C42" i="11" s="1"/>
  <c r="C43" i="11"/>
  <c r="K28" i="11"/>
  <c r="D42" i="11" s="1"/>
  <c r="D43" i="11"/>
  <c r="D41" i="11"/>
  <c r="D44" i="11"/>
  <c r="K28" i="10"/>
  <c r="D42" i="10" s="1"/>
  <c r="D43" i="10"/>
  <c r="J28" i="10"/>
  <c r="C42" i="10" s="1"/>
  <c r="C43" i="10"/>
  <c r="D41" i="10"/>
  <c r="D44" i="10"/>
  <c r="I33" i="2"/>
  <c r="N33" i="2"/>
  <c r="L33" i="2"/>
  <c r="M33" i="2"/>
  <c r="J33" i="2"/>
  <c r="H33" i="2"/>
  <c r="G33" i="2"/>
  <c r="D33" i="2"/>
  <c r="E33" i="2"/>
  <c r="F33" i="2"/>
  <c r="M22" i="3"/>
  <c r="N22" i="3"/>
  <c r="D22" i="3"/>
  <c r="I22" i="3"/>
  <c r="H22" i="3"/>
  <c r="J22" i="3"/>
  <c r="F15" i="8"/>
  <c r="C15" i="8"/>
  <c r="F14" i="8"/>
  <c r="C14" i="8"/>
  <c r="F13" i="8"/>
  <c r="C13" i="8"/>
  <c r="F12" i="8"/>
  <c r="C12" i="8"/>
  <c r="F11" i="8"/>
  <c r="C11" i="8"/>
  <c r="F10" i="8"/>
  <c r="C10" i="8"/>
  <c r="F9" i="8"/>
  <c r="C9" i="8"/>
  <c r="F8" i="8"/>
  <c r="C8" i="8"/>
  <c r="F7" i="8"/>
  <c r="C7" i="8"/>
  <c r="F6" i="8"/>
  <c r="C6" i="8"/>
  <c r="F5" i="8"/>
  <c r="C5" i="8"/>
  <c r="F4" i="8"/>
  <c r="D7" i="2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J48" i="7"/>
  <c r="J47" i="7"/>
  <c r="J46" i="7"/>
  <c r="J45" i="7"/>
  <c r="J44" i="7"/>
  <c r="J43" i="7"/>
  <c r="J42" i="7"/>
  <c r="J41" i="7"/>
  <c r="J40" i="7"/>
  <c r="J39" i="7"/>
  <c r="J38" i="7"/>
  <c r="J37" i="7"/>
  <c r="J32" i="7"/>
  <c r="J31" i="7"/>
  <c r="J30" i="7"/>
  <c r="J29" i="7"/>
  <c r="J28" i="7"/>
  <c r="J27" i="7"/>
  <c r="J26" i="7"/>
  <c r="J25" i="7"/>
  <c r="J24" i="7"/>
  <c r="J23" i="7"/>
  <c r="J22" i="7"/>
  <c r="J21" i="7"/>
  <c r="J5" i="7"/>
  <c r="J6" i="7"/>
  <c r="J7" i="7"/>
  <c r="J8" i="7"/>
  <c r="J9" i="7"/>
  <c r="J10" i="7"/>
  <c r="J11" i="7"/>
  <c r="J12" i="7"/>
  <c r="J13" i="7"/>
  <c r="J14" i="7"/>
  <c r="J15" i="7"/>
  <c r="J4" i="7"/>
  <c r="E37" i="7"/>
  <c r="E6" i="7"/>
  <c r="E39" i="7" s="1"/>
  <c r="E7" i="7"/>
  <c r="E40" i="7" s="1"/>
  <c r="E8" i="7"/>
  <c r="E41" i="7" s="1"/>
  <c r="E9" i="7"/>
  <c r="E42" i="7" s="1"/>
  <c r="E10" i="7"/>
  <c r="E43" i="7" s="1"/>
  <c r="E11" i="7"/>
  <c r="E44" i="7" s="1"/>
  <c r="E12" i="7"/>
  <c r="E45" i="7" s="1"/>
  <c r="E13" i="7"/>
  <c r="E46" i="7" s="1"/>
  <c r="E14" i="7"/>
  <c r="E47" i="7" s="1"/>
  <c r="E15" i="7"/>
  <c r="E48" i="7" s="1"/>
  <c r="E5" i="7"/>
  <c r="E38" i="7" s="1"/>
  <c r="H48" i="7"/>
  <c r="G48" i="7" s="1"/>
  <c r="F48" i="7" s="1"/>
  <c r="H47" i="7"/>
  <c r="G47" i="7" s="1"/>
  <c r="F47" i="7" s="1"/>
  <c r="H46" i="7"/>
  <c r="G46" i="7" s="1"/>
  <c r="F46" i="7" s="1"/>
  <c r="H45" i="7"/>
  <c r="G45" i="7" s="1"/>
  <c r="F45" i="7" s="1"/>
  <c r="H44" i="7"/>
  <c r="G44" i="7" s="1"/>
  <c r="F44" i="7" s="1"/>
  <c r="H43" i="7"/>
  <c r="G43" i="7" s="1"/>
  <c r="F43" i="7" s="1"/>
  <c r="H42" i="7"/>
  <c r="G42" i="7" s="1"/>
  <c r="F42" i="7" s="1"/>
  <c r="H41" i="7"/>
  <c r="G41" i="7" s="1"/>
  <c r="F41" i="7" s="1"/>
  <c r="H40" i="7"/>
  <c r="G40" i="7" s="1"/>
  <c r="F40" i="7" s="1"/>
  <c r="H39" i="7"/>
  <c r="G39" i="7" s="1"/>
  <c r="F39" i="7" s="1"/>
  <c r="H38" i="7"/>
  <c r="G38" i="7" s="1"/>
  <c r="F38" i="7" s="1"/>
  <c r="H37" i="7"/>
  <c r="G37" i="7" s="1"/>
  <c r="F37" i="7" s="1"/>
  <c r="H32" i="7"/>
  <c r="G32" i="7" s="1"/>
  <c r="F32" i="7" s="1"/>
  <c r="D32" i="7" s="1"/>
  <c r="H31" i="7"/>
  <c r="G31" i="7" s="1"/>
  <c r="F31" i="7" s="1"/>
  <c r="D31" i="7" s="1"/>
  <c r="H30" i="7"/>
  <c r="G30" i="7" s="1"/>
  <c r="F30" i="7" s="1"/>
  <c r="D30" i="7" s="1"/>
  <c r="H29" i="7"/>
  <c r="G29" i="7" s="1"/>
  <c r="F29" i="7" s="1"/>
  <c r="D29" i="7" s="1"/>
  <c r="H28" i="7"/>
  <c r="G28" i="7"/>
  <c r="F28" i="7" s="1"/>
  <c r="D28" i="7" s="1"/>
  <c r="H27" i="7"/>
  <c r="G27" i="7" s="1"/>
  <c r="F27" i="7" s="1"/>
  <c r="D27" i="7" s="1"/>
  <c r="H26" i="7"/>
  <c r="G26" i="7" s="1"/>
  <c r="F26" i="7" s="1"/>
  <c r="D26" i="7" s="1"/>
  <c r="H25" i="7"/>
  <c r="G25" i="7" s="1"/>
  <c r="F25" i="7" s="1"/>
  <c r="D25" i="7" s="1"/>
  <c r="H24" i="7"/>
  <c r="G24" i="7" s="1"/>
  <c r="F24" i="7" s="1"/>
  <c r="D24" i="7" s="1"/>
  <c r="H23" i="7"/>
  <c r="G23" i="7" s="1"/>
  <c r="F23" i="7" s="1"/>
  <c r="D23" i="7" s="1"/>
  <c r="H22" i="7"/>
  <c r="G22" i="7" s="1"/>
  <c r="F22" i="7" s="1"/>
  <c r="D22" i="7" s="1"/>
  <c r="H21" i="7"/>
  <c r="G21" i="7" s="1"/>
  <c r="F21" i="7" s="1"/>
  <c r="D21" i="7" s="1"/>
  <c r="H5" i="7"/>
  <c r="G5" i="7" s="1"/>
  <c r="F5" i="7" s="1"/>
  <c r="D5" i="7" s="1"/>
  <c r="H6" i="7"/>
  <c r="G6" i="7" s="1"/>
  <c r="F6" i="7" s="1"/>
  <c r="D6" i="7" s="1"/>
  <c r="H7" i="7"/>
  <c r="G7" i="7" s="1"/>
  <c r="F7" i="7" s="1"/>
  <c r="D7" i="7" s="1"/>
  <c r="H8" i="7"/>
  <c r="G8" i="7" s="1"/>
  <c r="F8" i="7" s="1"/>
  <c r="H9" i="7"/>
  <c r="G9" i="7" s="1"/>
  <c r="F9" i="7" s="1"/>
  <c r="H10" i="7"/>
  <c r="G10" i="7" s="1"/>
  <c r="F10" i="7" s="1"/>
  <c r="H11" i="7"/>
  <c r="G11" i="7" s="1"/>
  <c r="F11" i="7" s="1"/>
  <c r="H12" i="7"/>
  <c r="G12" i="7" s="1"/>
  <c r="F12" i="7" s="1"/>
  <c r="H13" i="7"/>
  <c r="G13" i="7" s="1"/>
  <c r="F13" i="7" s="1"/>
  <c r="H14" i="7"/>
  <c r="G14" i="7" s="1"/>
  <c r="F14" i="7" s="1"/>
  <c r="H15" i="7"/>
  <c r="G15" i="7" s="1"/>
  <c r="F15" i="7" s="1"/>
  <c r="D15" i="7" s="1"/>
  <c r="H4" i="7"/>
  <c r="G4" i="7" s="1"/>
  <c r="F4" i="7" s="1"/>
  <c r="D4" i="7" s="1"/>
  <c r="O9" i="9" l="1"/>
  <c r="O34" i="2"/>
  <c r="Q11" i="2"/>
  <c r="P33" i="2"/>
  <c r="P29" i="9"/>
  <c r="P31" i="9" s="1"/>
  <c r="O11" i="9"/>
  <c r="O34" i="9" s="1"/>
  <c r="O33" i="9"/>
  <c r="P28" i="2"/>
  <c r="P29" i="2" s="1"/>
  <c r="P31" i="2" s="1"/>
  <c r="P19" i="9" s="1"/>
  <c r="P13" i="2"/>
  <c r="P15" i="2" s="1"/>
  <c r="P21" i="2"/>
  <c r="P23" i="2" s="1"/>
  <c r="P14" i="9" s="1"/>
  <c r="P16" i="9" s="1"/>
  <c r="P22" i="3"/>
  <c r="R6" i="3"/>
  <c r="Q13" i="3"/>
  <c r="Q24" i="9" s="1"/>
  <c r="Q26" i="9" s="1"/>
  <c r="Q19" i="3"/>
  <c r="K22" i="3"/>
  <c r="L22" i="3"/>
  <c r="F22" i="3"/>
  <c r="E22" i="3"/>
  <c r="G22" i="3"/>
  <c r="D8" i="7"/>
  <c r="D10" i="7"/>
  <c r="D11" i="7"/>
  <c r="D12" i="7"/>
  <c r="D37" i="7"/>
  <c r="D43" i="7"/>
  <c r="D42" i="7"/>
  <c r="D38" i="7"/>
  <c r="D39" i="7"/>
  <c r="D46" i="7"/>
  <c r="D47" i="7"/>
  <c r="D41" i="7"/>
  <c r="D44" i="7"/>
  <c r="D45" i="7"/>
  <c r="D40" i="7"/>
  <c r="D48" i="7"/>
  <c r="D9" i="7"/>
  <c r="D14" i="7"/>
  <c r="D13" i="7"/>
  <c r="R11" i="2" l="1"/>
  <c r="Q33" i="2"/>
  <c r="P9" i="9"/>
  <c r="P11" i="9" s="1"/>
  <c r="P34" i="9" s="1"/>
  <c r="P34" i="2"/>
  <c r="Q29" i="9"/>
  <c r="Q31" i="9" s="1"/>
  <c r="Q21" i="2"/>
  <c r="Q23" i="2" s="1"/>
  <c r="Q14" i="9" s="1"/>
  <c r="Q16" i="9" s="1"/>
  <c r="Q28" i="2"/>
  <c r="Q29" i="2" s="1"/>
  <c r="Q31" i="2" s="1"/>
  <c r="Q19" i="9" s="1"/>
  <c r="Q13" i="2"/>
  <c r="Q15" i="2" s="1"/>
  <c r="P33" i="9"/>
  <c r="S6" i="3"/>
  <c r="R13" i="3"/>
  <c r="R24" i="9" s="1"/>
  <c r="R26" i="9" s="1"/>
  <c r="R19" i="3"/>
  <c r="Q22" i="3"/>
  <c r="N18" i="3"/>
  <c r="M18" i="3"/>
  <c r="L18" i="3"/>
  <c r="K18" i="3"/>
  <c r="J18" i="3"/>
  <c r="I18" i="3"/>
  <c r="H18" i="3"/>
  <c r="G18" i="3"/>
  <c r="F18" i="3"/>
  <c r="E18" i="3"/>
  <c r="D18" i="3"/>
  <c r="N17" i="3"/>
  <c r="M17" i="3"/>
  <c r="L17" i="3"/>
  <c r="K17" i="3"/>
  <c r="J17" i="3"/>
  <c r="I17" i="3"/>
  <c r="H17" i="3"/>
  <c r="G17" i="3"/>
  <c r="F17" i="3"/>
  <c r="E17" i="3"/>
  <c r="D17" i="3"/>
  <c r="N12" i="3"/>
  <c r="M12" i="3"/>
  <c r="L12" i="3"/>
  <c r="K12" i="3"/>
  <c r="J12" i="3"/>
  <c r="I12" i="3"/>
  <c r="H12" i="3"/>
  <c r="G12" i="3"/>
  <c r="F12" i="3"/>
  <c r="E12" i="3"/>
  <c r="D12" i="3"/>
  <c r="N11" i="3"/>
  <c r="M11" i="3"/>
  <c r="L11" i="3"/>
  <c r="K11" i="3"/>
  <c r="J11" i="3"/>
  <c r="I11" i="3"/>
  <c r="H11" i="3"/>
  <c r="G11" i="3"/>
  <c r="F11" i="3"/>
  <c r="E11" i="3"/>
  <c r="D11" i="3"/>
  <c r="Q9" i="9" l="1"/>
  <c r="Q34" i="2"/>
  <c r="S11" i="2"/>
  <c r="R33" i="2"/>
  <c r="F23" i="3"/>
  <c r="N23" i="3"/>
  <c r="J23" i="3"/>
  <c r="E23" i="3"/>
  <c r="I23" i="3"/>
  <c r="M23" i="3"/>
  <c r="O17" i="3"/>
  <c r="G23" i="3"/>
  <c r="K23" i="3"/>
  <c r="O11" i="3"/>
  <c r="D23" i="3"/>
  <c r="H23" i="3"/>
  <c r="L23" i="3"/>
  <c r="R29" i="9"/>
  <c r="R31" i="9" s="1"/>
  <c r="R28" i="2"/>
  <c r="R29" i="2" s="1"/>
  <c r="R31" i="2" s="1"/>
  <c r="R19" i="9" s="1"/>
  <c r="Q11" i="9"/>
  <c r="Q34" i="9" s="1"/>
  <c r="Q33" i="9"/>
  <c r="R13" i="2"/>
  <c r="R15" i="2" s="1"/>
  <c r="R21" i="2"/>
  <c r="R23" i="2" s="1"/>
  <c r="R14" i="9" s="1"/>
  <c r="R16" i="9" s="1"/>
  <c r="R22" i="3"/>
  <c r="T6" i="3"/>
  <c r="S13" i="3"/>
  <c r="S24" i="9" s="1"/>
  <c r="S26" i="9" s="1"/>
  <c r="S19" i="3"/>
  <c r="T11" i="2" l="1"/>
  <c r="S33" i="2"/>
  <c r="R9" i="9"/>
  <c r="R33" i="9" s="1"/>
  <c r="R34" i="2"/>
  <c r="O23" i="3"/>
  <c r="S29" i="9"/>
  <c r="S31" i="9" s="1"/>
  <c r="P11" i="3"/>
  <c r="P17" i="3"/>
  <c r="S21" i="2"/>
  <c r="S23" i="2" s="1"/>
  <c r="S14" i="9" s="1"/>
  <c r="S16" i="9" s="1"/>
  <c r="S13" i="2"/>
  <c r="S15" i="2" s="1"/>
  <c r="S28" i="2"/>
  <c r="S29" i="2" s="1"/>
  <c r="S31" i="2" s="1"/>
  <c r="S19" i="9" s="1"/>
  <c r="U6" i="3"/>
  <c r="T13" i="3"/>
  <c r="T24" i="9" s="1"/>
  <c r="T26" i="9" s="1"/>
  <c r="T19" i="3"/>
  <c r="S22" i="3"/>
  <c r="R11" i="9" l="1"/>
  <c r="R34" i="9" s="1"/>
  <c r="S9" i="9"/>
  <c r="S34" i="2"/>
  <c r="U11" i="2"/>
  <c r="T33" i="2"/>
  <c r="P23" i="3"/>
  <c r="Q11" i="3"/>
  <c r="Q17" i="3"/>
  <c r="T29" i="9"/>
  <c r="T31" i="9" s="1"/>
  <c r="T28" i="2"/>
  <c r="T29" i="2" s="1"/>
  <c r="T31" i="2" s="1"/>
  <c r="T19" i="9" s="1"/>
  <c r="S11" i="9"/>
  <c r="S34" i="9" s="1"/>
  <c r="S33" i="9"/>
  <c r="T13" i="2"/>
  <c r="T15" i="2" s="1"/>
  <c r="T21" i="2"/>
  <c r="T23" i="2" s="1"/>
  <c r="T14" i="9" s="1"/>
  <c r="T16" i="9" s="1"/>
  <c r="T22" i="3"/>
  <c r="V6" i="3"/>
  <c r="U13" i="3"/>
  <c r="U24" i="9" s="1"/>
  <c r="U26" i="9" s="1"/>
  <c r="U19" i="3"/>
  <c r="V11" i="2" l="1"/>
  <c r="U33" i="2"/>
  <c r="T9" i="9"/>
  <c r="T33" i="9" s="1"/>
  <c r="T34" i="2"/>
  <c r="U29" i="9"/>
  <c r="U31" i="9" s="1"/>
  <c r="R17" i="3"/>
  <c r="Q23" i="3"/>
  <c r="R11" i="3"/>
  <c r="U21" i="2"/>
  <c r="U23" i="2" s="1"/>
  <c r="U14" i="9" s="1"/>
  <c r="U16" i="9" s="1"/>
  <c r="U13" i="2"/>
  <c r="U15" i="2" s="1"/>
  <c r="U28" i="2"/>
  <c r="U29" i="2" s="1"/>
  <c r="U31" i="2" s="1"/>
  <c r="U19" i="9" s="1"/>
  <c r="W6" i="3"/>
  <c r="V13" i="3"/>
  <c r="V24" i="9" s="1"/>
  <c r="V26" i="9" s="1"/>
  <c r="V19" i="3"/>
  <c r="U22" i="3"/>
  <c r="T11" i="9" l="1"/>
  <c r="T34" i="9" s="1"/>
  <c r="U9" i="9"/>
  <c r="U34" i="2"/>
  <c r="W11" i="2"/>
  <c r="V33" i="2"/>
  <c r="R23" i="3"/>
  <c r="S17" i="3"/>
  <c r="V29" i="9"/>
  <c r="V31" i="9" s="1"/>
  <c r="S11" i="3"/>
  <c r="V28" i="2"/>
  <c r="V29" i="2" s="1"/>
  <c r="U11" i="9"/>
  <c r="U34" i="9" s="1"/>
  <c r="U33" i="9"/>
  <c r="V13" i="2"/>
  <c r="V15" i="2" s="1"/>
  <c r="V9" i="9" s="1"/>
  <c r="V21" i="2"/>
  <c r="V23" i="2" s="1"/>
  <c r="V14" i="9" s="1"/>
  <c r="V16" i="9" s="1"/>
  <c r="X6" i="3"/>
  <c r="W13" i="3"/>
  <c r="W24" i="9" s="1"/>
  <c r="W26" i="9" s="1"/>
  <c r="W19" i="3"/>
  <c r="V22" i="3"/>
  <c r="X11" i="2" l="1"/>
  <c r="W33" i="2"/>
  <c r="V31" i="2"/>
  <c r="V34" i="2" s="1"/>
  <c r="S23" i="3"/>
  <c r="W29" i="9"/>
  <c r="W31" i="9" s="1"/>
  <c r="T11" i="3"/>
  <c r="T17" i="3"/>
  <c r="W21" i="2"/>
  <c r="W23" i="2" s="1"/>
  <c r="W14" i="9" s="1"/>
  <c r="W16" i="9" s="1"/>
  <c r="V11" i="9"/>
  <c r="V34" i="9" s="1"/>
  <c r="W13" i="2"/>
  <c r="W15" i="2" s="1"/>
  <c r="W28" i="2"/>
  <c r="W29" i="2" s="1"/>
  <c r="W31" i="2" s="1"/>
  <c r="W19" i="9" s="1"/>
  <c r="W22" i="3"/>
  <c r="Y6" i="3"/>
  <c r="X13" i="3"/>
  <c r="X24" i="9" s="1"/>
  <c r="X26" i="9" s="1"/>
  <c r="X19" i="3"/>
  <c r="V19" i="9" l="1"/>
  <c r="V33" i="9" s="1"/>
  <c r="W9" i="9"/>
  <c r="W34" i="2"/>
  <c r="Y11" i="2"/>
  <c r="X33" i="2"/>
  <c r="U17" i="3"/>
  <c r="X29" i="9"/>
  <c r="X31" i="9" s="1"/>
  <c r="U11" i="3"/>
  <c r="T23" i="3"/>
  <c r="X28" i="2"/>
  <c r="X29" i="2" s="1"/>
  <c r="X31" i="2" s="1"/>
  <c r="X19" i="9" s="1"/>
  <c r="W11" i="9"/>
  <c r="W34" i="9" s="1"/>
  <c r="W33" i="9"/>
  <c r="X13" i="2"/>
  <c r="X15" i="2" s="1"/>
  <c r="X21" i="2"/>
  <c r="X23" i="2" s="1"/>
  <c r="X14" i="9" s="1"/>
  <c r="X16" i="9" s="1"/>
  <c r="X22" i="3"/>
  <c r="Z6" i="3"/>
  <c r="Y13" i="3"/>
  <c r="Y24" i="9" s="1"/>
  <c r="Y26" i="9" s="1"/>
  <c r="Y19" i="3"/>
  <c r="Z11" i="2" l="1"/>
  <c r="Z33" i="2" s="1"/>
  <c r="Y33" i="2"/>
  <c r="X9" i="9"/>
  <c r="X34" i="2"/>
  <c r="U23" i="3"/>
  <c r="Y29" i="9"/>
  <c r="Y31" i="9" s="1"/>
  <c r="V11" i="3"/>
  <c r="V17" i="3"/>
  <c r="Z21" i="2"/>
  <c r="Z23" i="2" s="1"/>
  <c r="Z14" i="9" s="1"/>
  <c r="Z16" i="9" s="1"/>
  <c r="Y21" i="2"/>
  <c r="Y23" i="2" s="1"/>
  <c r="Y14" i="9" s="1"/>
  <c r="Y16" i="9" s="1"/>
  <c r="X11" i="9"/>
  <c r="X34" i="9" s="1"/>
  <c r="X33" i="9"/>
  <c r="Z13" i="2"/>
  <c r="Z15" i="2" s="1"/>
  <c r="Y13" i="2"/>
  <c r="Y15" i="2" s="1"/>
  <c r="Z28" i="2"/>
  <c r="Z29" i="2" s="1"/>
  <c r="Z31" i="2" s="1"/>
  <c r="Z19" i="9" s="1"/>
  <c r="Y28" i="2"/>
  <c r="Y29" i="2" s="1"/>
  <c r="Y31" i="2" s="1"/>
  <c r="Y19" i="9" s="1"/>
  <c r="Y22" i="3"/>
  <c r="Z13" i="3"/>
  <c r="Z24" i="9" s="1"/>
  <c r="Z26" i="9" s="1"/>
  <c r="Z19" i="3"/>
  <c r="Y9" i="9" l="1"/>
  <c r="Y34" i="2"/>
  <c r="Z9" i="9"/>
  <c r="Z11" i="9" s="1"/>
  <c r="Z34" i="2"/>
  <c r="V23" i="3"/>
  <c r="W11" i="3"/>
  <c r="Z29" i="9"/>
  <c r="Z31" i="9" s="1"/>
  <c r="W17" i="3"/>
  <c r="Y11" i="9"/>
  <c r="Y34" i="9" s="1"/>
  <c r="Y33" i="9"/>
  <c r="Z22" i="3"/>
  <c r="W23" i="3" l="1"/>
  <c r="Z34" i="9"/>
  <c r="Z33" i="9"/>
  <c r="X17" i="3"/>
  <c r="X11" i="3"/>
  <c r="X23" i="3" l="1"/>
  <c r="Z11" i="3"/>
  <c r="Y11" i="3"/>
  <c r="Z17" i="3"/>
  <c r="Y17" i="3"/>
  <c r="Z23" i="3" l="1"/>
  <c r="Y2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14511-1ED2-BD43-A615-C6D8679DB168}" keepAlive="1" name="Consulta - Sheet1" description="Conexão com a consulta 'Sheet1' na pasta de trabalho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<sst xmlns="http://schemas.openxmlformats.org/spreadsheetml/2006/main" count="333" uniqueCount="111">
  <si>
    <t xml:space="preserve">Tráfego pago 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</si>
  <si>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</si>
  <si>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</si>
  <si>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</si>
  <si>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</si>
  <si>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</si>
  <si>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</si>
  <si>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</si>
  <si>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</si>
  <si>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</si>
  <si>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</si>
  <si>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</si>
  <si>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</si>
  <si>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Data</t>
  </si>
  <si>
    <t>CPC</t>
  </si>
  <si>
    <t>Click</t>
  </si>
  <si>
    <t>Custo</t>
  </si>
  <si>
    <t>Usuários</t>
  </si>
  <si>
    <t>Sessóes</t>
  </si>
  <si>
    <t>Taxa de conversão</t>
  </si>
  <si>
    <t>Conclusões da meta 1</t>
  </si>
  <si>
    <t>Conversão da página</t>
  </si>
  <si>
    <t xml:space="preserve">1. Google Search </t>
  </si>
  <si>
    <t xml:space="preserve">2. Google Display </t>
  </si>
  <si>
    <t>Campanha</t>
  </si>
  <si>
    <t>SEARCH-1</t>
  </si>
  <si>
    <t>DISPLAY-1</t>
  </si>
  <si>
    <t>SEARCH</t>
  </si>
  <si>
    <t>DISPLAY</t>
  </si>
  <si>
    <t>OTHER- FACEBOOK</t>
  </si>
  <si>
    <t>FACE-ADS-1</t>
  </si>
  <si>
    <t>Leads</t>
  </si>
  <si>
    <t>TOTAL INVESTIMENTO</t>
  </si>
  <si>
    <t>TOTAL LEADS</t>
  </si>
  <si>
    <t>EMAIL</t>
  </si>
  <si>
    <t>OUTROS</t>
  </si>
  <si>
    <t>Tráfego Orgânico</t>
  </si>
  <si>
    <t>1. Email</t>
  </si>
  <si>
    <t>Conversão vendas</t>
  </si>
  <si>
    <t xml:space="preserve">3. Facebook </t>
  </si>
  <si>
    <t>4. Email</t>
  </si>
  <si>
    <t>Desempenho de Vendas</t>
  </si>
  <si>
    <t>Lead Orgânico</t>
  </si>
  <si>
    <t>Mês</t>
  </si>
  <si>
    <t>Leads Orgânicos</t>
  </si>
  <si>
    <t>Exponential smoothing</t>
  </si>
  <si>
    <t>Coeficiente de regresão</t>
  </si>
  <si>
    <t>Alfa mês -2</t>
  </si>
  <si>
    <t>a</t>
  </si>
  <si>
    <t>Alfa mês anterior (-1)</t>
  </si>
  <si>
    <t>c</t>
  </si>
  <si>
    <t>Previsão Exp. smoothing</t>
  </si>
  <si>
    <t>Regresão Linear</t>
  </si>
  <si>
    <t>Erro Exp. Smoothing</t>
  </si>
  <si>
    <t>Erro Regresão Linear</t>
  </si>
  <si>
    <t>Abs error Exp Smothing</t>
  </si>
  <si>
    <t>Abs erro R. Linear</t>
  </si>
  <si>
    <t>Abs error % E S</t>
  </si>
  <si>
    <t>Abs error % R L</t>
  </si>
  <si>
    <t>Métricas de avaliação</t>
  </si>
  <si>
    <t>Exp. smoothing</t>
  </si>
  <si>
    <t>Bias Forecast Error</t>
  </si>
  <si>
    <t>MAPE</t>
  </si>
  <si>
    <t>MAE</t>
  </si>
  <si>
    <t>RSME</t>
  </si>
  <si>
    <t>Lead Email</t>
  </si>
  <si>
    <t xml:space="preserve">
</t>
  </si>
  <si>
    <t>Dados de Projeção</t>
  </si>
  <si>
    <t>Regressão Linear - Orgânico</t>
  </si>
  <si>
    <t>Regressão Linear - Email</t>
  </si>
  <si>
    <t>b</t>
  </si>
  <si>
    <t>2. Orgânico</t>
  </si>
  <si>
    <t>TOTAL Sessões</t>
  </si>
  <si>
    <t>ORGÂNICO</t>
  </si>
  <si>
    <t>Regressão Linear - Facebook</t>
  </si>
  <si>
    <t>Linear mínimo</t>
  </si>
  <si>
    <t>% aumento CPC</t>
  </si>
  <si>
    <t>Probabilidade</t>
  </si>
  <si>
    <t xml:space="preserve">CPC Esperado </t>
  </si>
  <si>
    <t>Total Vendas</t>
  </si>
  <si>
    <t>Total Leads</t>
  </si>
  <si>
    <t>VENDAS</t>
  </si>
  <si>
    <t xml:space="preserve">Taxa de conversão canais (exceto Facebook) - média dos últimos 3 meses </t>
  </si>
  <si>
    <t>Taxa de conversão canais  Facebook 13% (valor de março/2018)</t>
  </si>
  <si>
    <t>Projeção de crescimento E-commerce</t>
  </si>
  <si>
    <t>Autor:</t>
  </si>
  <si>
    <t>Joana Guidetti</t>
  </si>
  <si>
    <t>Data da atualização</t>
  </si>
  <si>
    <t>Descrição do modelo</t>
  </si>
  <si>
    <t>Previsão de crescimento do E-commerce nos períodos de 06-2018 à 05-2019</t>
  </si>
  <si>
    <t>Projeção de número de leads por canais</t>
  </si>
  <si>
    <t>contato:</t>
  </si>
  <si>
    <t>j.aradetti@gmail.com</t>
  </si>
  <si>
    <t>MENU DE NAVEGAÇÃO</t>
  </si>
  <si>
    <t>Suposições</t>
  </si>
  <si>
    <t>Leads - Trafego Pago</t>
  </si>
  <si>
    <t>Leads - Trafego Orgânico</t>
  </si>
  <si>
    <t>Voltar para o Menu</t>
  </si>
  <si>
    <t>Modelo previsão</t>
  </si>
  <si>
    <t>FACEBOOK</t>
  </si>
  <si>
    <t xml:space="preserve">Taxa de conversão site </t>
  </si>
  <si>
    <t>GOOGLE SEARCH</t>
  </si>
  <si>
    <t>Aumento investimento (mensal)</t>
  </si>
  <si>
    <t>Aumento CPC (mensal)</t>
  </si>
  <si>
    <t>GOOGLE DISPLAY</t>
  </si>
  <si>
    <t>Investimento Search</t>
  </si>
  <si>
    <t>Investimento Display</t>
  </si>
  <si>
    <t>Investimento Facebook</t>
  </si>
  <si>
    <t>Sessões Email</t>
  </si>
  <si>
    <t>Sessões Orgânico</t>
  </si>
  <si>
    <t>5. Orgânico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</si>
</sst>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US$&quot;\ * #,##0.00_-;\-&quot;US$&quot;\ * #,##0.00_-;_-&quot;US$&quot;\ * &quot;-&quot;??_-;_-@_-"/>
    <numFmt numFmtId="165" formatCode="_-[$R$-416]\ * #,##0.00_-;\-[$R$-416]\ * #,##0.00_-;_-[$R$-416]\ * &quot;-&quot;??_-;_-@_-"/>
    <numFmt numFmtId="166" formatCode="yyyy\-mm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rgb="FFFF3399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3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9242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3399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9" fontId="0" fillId="0" borderId="1" xfId="0" applyNumberFormat="1" applyBorder="1"/>
    <xf numFmtId="0" fontId="3" fillId="0" borderId="0" xfId="0" applyFont="1"/>
    <xf numFmtId="0" fontId="0" fillId="0" borderId="1" xfId="0" applyBorder="1" applyAlignment="1">
      <alignment horizontal="left"/>
    </xf>
    <xf numFmtId="0" fontId="4" fillId="0" borderId="1" xfId="0" applyFont="1" applyBorder="1"/>
    <xf numFmtId="0" fontId="0" fillId="0" borderId="0" xfId="0" applyFill="1" applyBorder="1" applyAlignment="1">
      <alignment horizontal="left"/>
    </xf>
    <xf numFmtId="1" fontId="0" fillId="0" borderId="1" xfId="0" applyNumberFormat="1" applyBorder="1"/>
    <xf numFmtId="165" fontId="0" fillId="0" borderId="0" xfId="1" applyNumberFormat="1" applyFont="1"/>
    <xf numFmtId="9" fontId="0" fillId="0" borderId="0" xfId="2" applyFont="1"/>
    <xf numFmtId="165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9" fontId="0" fillId="0" borderId="0" xfId="0" applyNumberFormat="1" applyBorder="1"/>
    <xf numFmtId="1" fontId="0" fillId="0" borderId="0" xfId="0" applyNumberFormat="1" applyBorder="1"/>
    <xf numFmtId="0" fontId="4" fillId="0" borderId="0" xfId="0" applyFont="1" applyBorder="1"/>
    <xf numFmtId="0" fontId="5" fillId="0" borderId="0" xfId="3" applyFont="1"/>
    <xf numFmtId="0" fontId="1" fillId="0" borderId="0" xfId="3"/>
    <xf numFmtId="0" fontId="1" fillId="0" borderId="1" xfId="3" applyBorder="1"/>
    <xf numFmtId="0" fontId="1" fillId="0" borderId="1" xfId="3" applyBorder="1" applyAlignment="1">
      <alignment horizontal="left"/>
    </xf>
    <xf numFmtId="0" fontId="6" fillId="0" borderId="0" xfId="3" applyFont="1" applyAlignment="1">
      <alignment horizontal="left"/>
    </xf>
    <xf numFmtId="0" fontId="6" fillId="0" borderId="0" xfId="3" applyFont="1"/>
    <xf numFmtId="0" fontId="8" fillId="2" borderId="1" xfId="3" applyFont="1" applyFill="1" applyBorder="1"/>
    <xf numFmtId="0" fontId="7" fillId="3" borderId="0" xfId="3" applyFont="1" applyFill="1"/>
    <xf numFmtId="0" fontId="1" fillId="0" borderId="0" xfId="3" applyAlignment="1">
      <alignment horizontal="left"/>
    </xf>
    <xf numFmtId="1" fontId="1" fillId="0" borderId="0" xfId="3" applyNumberFormat="1"/>
    <xf numFmtId="9" fontId="0" fillId="0" borderId="0" xfId="4" applyFont="1"/>
    <xf numFmtId="9" fontId="0" fillId="4" borderId="0" xfId="4" applyFont="1" applyFill="1"/>
    <xf numFmtId="9" fontId="1" fillId="4" borderId="0" xfId="3" applyNumberFormat="1" applyFill="1"/>
    <xf numFmtId="9" fontId="1" fillId="0" borderId="0" xfId="3" applyNumberFormat="1"/>
    <xf numFmtId="1" fontId="1" fillId="4" borderId="0" xfId="3" applyNumberFormat="1" applyFill="1"/>
    <xf numFmtId="0" fontId="1" fillId="0" borderId="0" xfId="3" applyAlignment="1">
      <alignment wrapText="1"/>
    </xf>
    <xf numFmtId="3" fontId="3" fillId="0" borderId="0" xfId="0" applyNumberFormat="1" applyFont="1"/>
    <xf numFmtId="3" fontId="0" fillId="0" borderId="0" xfId="0" applyNumberFormat="1"/>
    <xf numFmtId="0" fontId="10" fillId="0" borderId="0" xfId="0" applyFont="1"/>
    <xf numFmtId="14" fontId="0" fillId="0" borderId="0" xfId="0" applyNumberFormat="1"/>
    <xf numFmtId="0" fontId="11" fillId="0" borderId="0" xfId="0" applyFont="1"/>
    <xf numFmtId="0" fontId="12" fillId="0" borderId="0" xfId="5"/>
    <xf numFmtId="0" fontId="0" fillId="0" borderId="0" xfId="0" applyFill="1"/>
    <xf numFmtId="0" fontId="12" fillId="0" borderId="0" xfId="5" applyFill="1"/>
    <xf numFmtId="0" fontId="13" fillId="0" borderId="0" xfId="0" applyFont="1"/>
    <xf numFmtId="0" fontId="14" fillId="0" borderId="1" xfId="3" applyFont="1" applyBorder="1"/>
    <xf numFmtId="9" fontId="15" fillId="0" borderId="1" xfId="0" applyNumberFormat="1" applyFont="1" applyBorder="1"/>
    <xf numFmtId="9" fontId="15" fillId="0" borderId="1" xfId="2" applyFont="1" applyBorder="1"/>
    <xf numFmtId="0" fontId="17" fillId="5" borderId="0" xfId="0" applyFont="1" applyFill="1"/>
    <xf numFmtId="0" fontId="16" fillId="5" borderId="0" xfId="0" applyFont="1" applyFill="1"/>
    <xf numFmtId="9" fontId="18" fillId="0" borderId="1" xfId="0" applyNumberFormat="1" applyFont="1" applyBorder="1"/>
    <xf numFmtId="2" fontId="18" fillId="0" borderId="1" xfId="2" applyNumberFormat="1" applyFont="1" applyBorder="1"/>
    <xf numFmtId="2" fontId="14" fillId="0" borderId="1" xfId="3" applyNumberFormat="1" applyFont="1" applyBorder="1"/>
    <xf numFmtId="166" fontId="17" fillId="6" borderId="1" xfId="0" applyNumberFormat="1" applyFont="1" applyFill="1" applyBorder="1"/>
    <xf numFmtId="0" fontId="21" fillId="0" borderId="0" xfId="0" applyFont="1" applyFill="1"/>
    <xf numFmtId="165" fontId="20" fillId="0" borderId="1" xfId="1" applyNumberFormat="1" applyFont="1" applyBorder="1"/>
    <xf numFmtId="165" fontId="9" fillId="0" borderId="1" xfId="0" applyNumberFormat="1" applyFont="1" applyBorder="1"/>
    <xf numFmtId="165" fontId="0" fillId="0" borderId="1" xfId="0" applyNumberFormat="1" applyBorder="1"/>
    <xf numFmtId="3" fontId="20" fillId="0" borderId="1" xfId="0" applyNumberFormat="1" applyFont="1" applyBorder="1"/>
    <xf numFmtId="3" fontId="0" fillId="0" borderId="1" xfId="0" applyNumberFormat="1" applyBorder="1"/>
    <xf numFmtId="9" fontId="20" fillId="0" borderId="1" xfId="2" applyFont="1" applyBorder="1"/>
    <xf numFmtId="0" fontId="3" fillId="0" borderId="1" xfId="0" applyFont="1" applyBorder="1"/>
    <xf numFmtId="0" fontId="18" fillId="0" borderId="1" xfId="0" applyFont="1" applyBorder="1"/>
    <xf numFmtId="9" fontId="0" fillId="0" borderId="1" xfId="2" applyFont="1" applyBorder="1"/>
    <xf numFmtId="165" fontId="10" fillId="0" borderId="1" xfId="0" applyNumberFormat="1" applyFont="1" applyBorder="1"/>
    <xf numFmtId="0" fontId="0" fillId="0" borderId="1" xfId="0" applyFont="1" applyBorder="1"/>
    <xf numFmtId="3" fontId="3" fillId="0" borderId="1" xfId="0" applyNumberFormat="1" applyFont="1" applyBorder="1"/>
    <xf numFmtId="9" fontId="19" fillId="0" borderId="1" xfId="0" applyNumberFormat="1" applyFont="1" applyBorder="1"/>
    <xf numFmtId="0" fontId="20" fillId="0" borderId="1" xfId="0" applyFont="1" applyBorder="1"/>
    <xf numFmtId="9" fontId="18" fillId="0" borderId="1" xfId="2" applyFont="1" applyBorder="1"/>
    <xf numFmtId="9" fontId="9" fillId="0" borderId="1" xfId="0" applyNumberFormat="1" applyFont="1" applyBorder="1"/>
    <xf numFmtId="9" fontId="10" fillId="0" borderId="1" xfId="0" applyNumberFormat="1" applyFont="1" applyBorder="1"/>
    <xf numFmtId="9" fontId="18" fillId="0" borderId="1" xfId="2" applyNumberFormat="1" applyFont="1" applyBorder="1"/>
    <xf numFmtId="0" fontId="22" fillId="0" borderId="1" xfId="0" applyFont="1" applyBorder="1"/>
    <xf numFmtId="3" fontId="22" fillId="0" borderId="1" xfId="0" applyNumberFormat="1" applyFont="1" applyBorder="1"/>
    <xf numFmtId="3" fontId="23" fillId="0" borderId="1" xfId="0" applyNumberFormat="1" applyFont="1" applyBorder="1"/>
    <xf numFmtId="1" fontId="3" fillId="0" borderId="1" xfId="0" applyNumberFormat="1" applyFont="1" applyBorder="1"/>
    <xf numFmtId="0" fontId="3" fillId="0" borderId="1" xfId="2" applyNumberFormat="1" applyFont="1" applyBorder="1"/>
    <xf numFmtId="1" fontId="3" fillId="0" borderId="1" xfId="2" applyNumberFormat="1" applyFont="1" applyBorder="1"/>
    <xf numFmtId="0" fontId="16" fillId="7" borderId="0" xfId="0" applyFont="1" applyFill="1"/>
    <xf numFmtId="166" fontId="17" fillId="7" borderId="1" xfId="0" applyNumberFormat="1" applyFont="1" applyFill="1" applyBorder="1"/>
    <xf numFmtId="0" fontId="17" fillId="7" borderId="0" xfId="0" applyFont="1" applyFill="1"/>
    <xf numFmtId="0" fontId="24" fillId="0" borderId="0" xfId="0" applyFont="1"/>
  </cellXfs>
  <cellStyles count="6">
    <cellStyle name="Hiperlink" xfId="5" builtinId="8"/>
    <cellStyle name="Moeda" xfId="1" builtinId="4"/>
    <cellStyle name="Normal" xfId="0" builtinId="0"/>
    <cellStyle name="Normal 2" xfId="3" xr:uid="{1E33995A-73F5-43EC-9C11-57798F014D7C}"/>
    <cellStyle name="Porcentagem" xfId="2" builtinId="5"/>
    <cellStyle name="Porcentagem 2" xfId="4" xr:uid="{BD68BE52-F907-4168-85F9-D82A1AFE1FF7}"/>
  </cellStyles>
  <dxfs count="0"/>
  <tableStyles count="0" defaultTableStyle="TableStyleMedium2" defaultPivotStyle="PivotStyleLight16"/>
  <colors>
    <mruColors>
      <color rgb="FF009242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Calibri" panose="020F0502020204030204" pitchFamily="34" charset="0"/>
              </a:defRPr>
            </a:pPr>
            <a:r>
              <a:rPr lang="pt-BR" sz="1400" b="1">
                <a:solidFill>
                  <a:schemeClr val="accent1">
                    <a:lumMod val="50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Calibri" panose="020F0502020204030204" pitchFamily="34" charset="0"/>
              </a:rPr>
              <a:t>Evolução do número de leads pagos:</a:t>
            </a:r>
            <a:r>
              <a:rPr lang="pt-BR" sz="1400" b="1" baseline="0">
                <a:solidFill>
                  <a:schemeClr val="accent1">
                    <a:lumMod val="50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Calibri" panose="020F0502020204030204" pitchFamily="34" charset="0"/>
              </a:rPr>
              <a:t> Real vs Projetado (12 meses)</a:t>
            </a:r>
            <a:endParaRPr lang="pt-BR" sz="1400" b="1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  <a:cs typeface="Calibri" panose="020F050202020403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3837962314979163E-2"/>
          <c:y val="0.21832111070985025"/>
          <c:w val="0.94087416101781629"/>
          <c:h val="0.61520600044796747"/>
        </c:manualLayout>
      </c:layout>
      <c:lineChart>
        <c:grouping val="standard"/>
        <c:varyColors val="0"/>
        <c:ser>
          <c:idx val="0"/>
          <c:order val="0"/>
          <c:tx>
            <c:strRef>
              <c:f>'INPUTS Leads- Trafego pago'!$B$15</c:f>
              <c:strCache>
                <c:ptCount val="1"/>
                <c:pt idx="0">
                  <c:v>Total leads Google Search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pago'!$K$7:$Z$7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pago'!$C$15:$Z$15</c:f>
              <c:numCache>
                <c:formatCode>General</c:formatCode>
                <c:ptCount val="16"/>
                <c:pt idx="0">
                  <c:v>212</c:v>
                </c:pt>
                <c:pt idx="1">
                  <c:v>262</c:v>
                </c:pt>
                <c:pt idx="2">
                  <c:v>272</c:v>
                </c:pt>
                <c:pt idx="3">
                  <c:v>266</c:v>
                </c:pt>
                <c:pt idx="4">
                  <c:v>298</c:v>
                </c:pt>
                <c:pt idx="5">
                  <c:v>310</c:v>
                </c:pt>
                <c:pt idx="6">
                  <c:v>323</c:v>
                </c:pt>
                <c:pt idx="7">
                  <c:v>335</c:v>
                </c:pt>
                <c:pt idx="8">
                  <c:v>349</c:v>
                </c:pt>
                <c:pt idx="9">
                  <c:v>363</c:v>
                </c:pt>
                <c:pt idx="10">
                  <c:v>377</c:v>
                </c:pt>
                <c:pt idx="11">
                  <c:v>392</c:v>
                </c:pt>
                <c:pt idx="12">
                  <c:v>408</c:v>
                </c:pt>
                <c:pt idx="13">
                  <c:v>424</c:v>
                </c:pt>
                <c:pt idx="14">
                  <c:v>441</c:v>
                </c:pt>
                <c:pt idx="15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C4-4D39-9FF9-00A15C8FE3B4}"/>
            </c:ext>
          </c:extLst>
        </c:ser>
        <c:ser>
          <c:idx val="1"/>
          <c:order val="1"/>
          <c:tx>
            <c:strRef>
              <c:f>'INPUTS Leads- Trafego pago'!$B$23</c:f>
              <c:strCache>
                <c:ptCount val="1"/>
                <c:pt idx="0">
                  <c:v>Total leads Google Display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pago'!$K$7:$Z$7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pago'!$C$23:$Z$23</c:f>
              <c:numCache>
                <c:formatCode>General</c:formatCode>
                <c:ptCount val="16"/>
                <c:pt idx="0">
                  <c:v>18</c:v>
                </c:pt>
                <c:pt idx="1">
                  <c:v>16</c:v>
                </c:pt>
                <c:pt idx="2">
                  <c:v>19</c:v>
                </c:pt>
                <c:pt idx="3">
                  <c:v>11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C4-4D39-9FF9-00A15C8FE3B4}"/>
            </c:ext>
          </c:extLst>
        </c:ser>
        <c:ser>
          <c:idx val="2"/>
          <c:order val="2"/>
          <c:tx>
            <c:strRef>
              <c:f>'INPUTS Leads- Trafego pago'!$B$31</c:f>
              <c:strCache>
                <c:ptCount val="1"/>
                <c:pt idx="0">
                  <c:v>Total leads Facebook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pago'!$K$7:$Z$7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pago'!$C$31:$Z$31</c:f>
              <c:numCache>
                <c:formatCode>General</c:formatCode>
                <c:ptCount val="16"/>
                <c:pt idx="0">
                  <c:v>5</c:v>
                </c:pt>
                <c:pt idx="1">
                  <c:v>8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16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C4-4D39-9FF9-00A15C8FE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198959"/>
        <c:axId val="254207695"/>
      </c:lineChart>
      <c:catAx>
        <c:axId val="254198959"/>
        <c:scaling>
          <c:orientation val="minMax"/>
        </c:scaling>
        <c:delete val="0"/>
        <c:axPos val="b"/>
        <c:numFmt formatCode="yyyy\-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endParaRPr lang="pt-BR"/>
          </a:p>
        </c:txPr>
        <c:crossAx val="254207695"/>
        <c:crosses val="autoZero"/>
        <c:auto val="0"/>
        <c:lblAlgn val="ctr"/>
        <c:lblOffset val="300"/>
        <c:noMultiLvlLbl val="0"/>
      </c:catAx>
      <c:valAx>
        <c:axId val="2542076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5419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r>
              <a:rPr lang="pt-BR" b="1">
                <a:solidFill>
                  <a:schemeClr val="accent1">
                    <a:lumMod val="50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</a:rPr>
              <a:t>Evolução do investimento em mídia paga - Real vs</a:t>
            </a:r>
            <a:r>
              <a:rPr lang="pt-BR" b="1" baseline="0">
                <a:solidFill>
                  <a:schemeClr val="accent1">
                    <a:lumMod val="50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</a:rPr>
              <a:t> Projeção (12 meses)</a:t>
            </a:r>
            <a:endParaRPr lang="pt-BR" b="1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'INPUTS Leads- Trafego pago'!$B$11</c:f>
              <c:strCache>
                <c:ptCount val="1"/>
                <c:pt idx="0">
                  <c:v>Investimento Search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pago'!$K$7:$Z$7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pago'!$C$11:$Z$11</c:f>
              <c:numCache>
                <c:formatCode>_-[$R$-416]\ * #,##0.00_-;\-[$R$-416]\ * #,##0.00_-;_-[$R$-416]\ * "-"??_-;_-@_-</c:formatCode>
                <c:ptCount val="16"/>
                <c:pt idx="0">
                  <c:v>2717.0099999999998</c:v>
                </c:pt>
                <c:pt idx="1">
                  <c:v>4119.4412999999995</c:v>
                </c:pt>
                <c:pt idx="2">
                  <c:v>4479.1949999999997</c:v>
                </c:pt>
                <c:pt idx="3">
                  <c:v>3982.86</c:v>
                </c:pt>
                <c:pt idx="4">
                  <c:v>4182.0030000000006</c:v>
                </c:pt>
                <c:pt idx="5">
                  <c:v>4391.1031500000008</c:v>
                </c:pt>
                <c:pt idx="6">
                  <c:v>4610.6583075000008</c:v>
                </c:pt>
                <c:pt idx="7">
                  <c:v>4841.1912228750007</c:v>
                </c:pt>
                <c:pt idx="8">
                  <c:v>5083.2507840187509</c:v>
                </c:pt>
                <c:pt idx="9">
                  <c:v>5337.4133232196882</c:v>
                </c:pt>
                <c:pt idx="10">
                  <c:v>5604.2839893806731</c:v>
                </c:pt>
                <c:pt idx="11">
                  <c:v>5884.4981888497068</c:v>
                </c:pt>
                <c:pt idx="12">
                  <c:v>6178.7230982921928</c:v>
                </c:pt>
                <c:pt idx="13">
                  <c:v>6487.6592532068025</c:v>
                </c:pt>
                <c:pt idx="14">
                  <c:v>6812.0422158671427</c:v>
                </c:pt>
                <c:pt idx="15">
                  <c:v>7152.6443266605002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D-494D-9457-495AFFD41AF0}"/>
            </c:ext>
          </c:extLst>
        </c:ser>
        <c:ser>
          <c:idx val="1"/>
          <c:order val="1"/>
          <c:tx>
            <c:strRef>
              <c:f>'INPUTS Leads- Trafego pago'!$B$19</c:f>
              <c:strCache>
                <c:ptCount val="1"/>
                <c:pt idx="0">
                  <c:v>Investimento Display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pago'!$K$7:$Z$7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pago'!$C$19:$Z$19</c:f>
              <c:numCache>
                <c:formatCode>_-[$R$-416]\ * #,##0.00_-;\-[$R$-416]\ * #,##0.00_-;_-[$R$-416]\ * "-"??_-;_-@_-</c:formatCode>
                <c:ptCount val="16"/>
                <c:pt idx="0">
                  <c:v>261</c:v>
                </c:pt>
                <c:pt idx="1">
                  <c:v>284.31</c:v>
                </c:pt>
                <c:pt idx="2">
                  <c:v>357</c:v>
                </c:pt>
                <c:pt idx="3">
                  <c:v>189</c:v>
                </c:pt>
                <c:pt idx="4">
                  <c:v>198.45000000000002</c:v>
                </c:pt>
                <c:pt idx="5">
                  <c:v>208.37250000000003</c:v>
                </c:pt>
                <c:pt idx="6">
                  <c:v>218.79112500000005</c:v>
                </c:pt>
                <c:pt idx="7">
                  <c:v>229.73068125000006</c:v>
                </c:pt>
                <c:pt idx="8">
                  <c:v>241.21721531250009</c:v>
                </c:pt>
                <c:pt idx="9">
                  <c:v>253.27807607812511</c:v>
                </c:pt>
                <c:pt idx="10">
                  <c:v>265.94197988203138</c:v>
                </c:pt>
                <c:pt idx="11">
                  <c:v>279.23907887613296</c:v>
                </c:pt>
                <c:pt idx="12">
                  <c:v>293.2010328199396</c:v>
                </c:pt>
                <c:pt idx="13">
                  <c:v>307.86108446093658</c:v>
                </c:pt>
                <c:pt idx="14">
                  <c:v>323.2541386839834</c:v>
                </c:pt>
                <c:pt idx="15">
                  <c:v>339.41684561818261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D-494D-9457-495AFFD41AF0}"/>
            </c:ext>
          </c:extLst>
        </c:ser>
        <c:ser>
          <c:idx val="2"/>
          <c:order val="2"/>
          <c:tx>
            <c:strRef>
              <c:f>'INPUTS Leads- Trafego pago'!$B$27</c:f>
              <c:strCache>
                <c:ptCount val="1"/>
                <c:pt idx="0">
                  <c:v>Investimento Facebook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9481365880057128E-18"/>
                  <c:y val="-5.607955348311431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ACD-494D-9457-495AFFD41AF0}"/>
                </c:ext>
              </c:extLst>
            </c:dLbl>
            <c:dLbl>
              <c:idx val="2"/>
              <c:layout>
                <c:manualLayout>
                  <c:x val="-2.3649201299912205E-17"/>
                  <c:y val="5.78105461913086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ACD-494D-9457-495AFFD41AF0}"/>
                </c:ext>
              </c:extLst>
            </c:dLbl>
            <c:dLbl>
              <c:idx val="3"/>
              <c:layout>
                <c:manualLayout>
                  <c:x val="-2.3585092704045702E-17"/>
                  <c:y val="-5.607955348311380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ACD-494D-9457-495AFFD41AF0}"/>
                </c:ext>
              </c:extLst>
            </c:dLbl>
            <c:dLbl>
              <c:idx val="4"/>
              <c:layout>
                <c:manualLayout>
                  <c:x val="0"/>
                  <c:y val="-5.607955348311431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ACD-494D-9457-495AFFD41AF0}"/>
                </c:ext>
              </c:extLst>
            </c:dLbl>
            <c:dLbl>
              <c:idx val="5"/>
              <c:layout>
                <c:manualLayout>
                  <c:x val="-4.7170185408091405E-17"/>
                  <c:y val="-2.803977674155767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ACD-494D-9457-495AFFD41AF0}"/>
                </c:ext>
              </c:extLst>
            </c:dLbl>
            <c:dLbl>
              <c:idx val="6"/>
              <c:layout>
                <c:manualLayout>
                  <c:x val="-4.7170185408091405E-17"/>
                  <c:y val="-2.803977674155767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ACD-494D-9457-495AFFD41AF0}"/>
                </c:ext>
              </c:extLst>
            </c:dLbl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pago'!$K$7:$Z$7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pago'!$C$27:$Z$27</c:f>
              <c:numCache>
                <c:formatCode>_-[$R$-416]\ * #,##0.00_-;\-[$R$-416]\ * #,##0.00_-;_-[$R$-416]\ * "-"??_-;_-@_-</c:formatCode>
                <c:ptCount val="16"/>
                <c:pt idx="0">
                  <c:v>81.040499999999994</c:v>
                </c:pt>
                <c:pt idx="1">
                  <c:v>164.8998</c:v>
                </c:pt>
                <c:pt idx="2">
                  <c:v>263.08800000000002</c:v>
                </c:pt>
                <c:pt idx="3">
                  <c:v>172.65150000000003</c:v>
                </c:pt>
                <c:pt idx="4">
                  <c:v>184.73710500000004</c:v>
                </c:pt>
                <c:pt idx="5">
                  <c:v>197.66870235000005</c:v>
                </c:pt>
                <c:pt idx="6">
                  <c:v>211.50551151450006</c:v>
                </c:pt>
                <c:pt idx="7">
                  <c:v>226.31089732051507</c:v>
                </c:pt>
                <c:pt idx="8">
                  <c:v>242.15266013295113</c:v>
                </c:pt>
                <c:pt idx="9">
                  <c:v>259.10334634225774</c:v>
                </c:pt>
                <c:pt idx="10">
                  <c:v>277.2405805862158</c:v>
                </c:pt>
                <c:pt idx="11">
                  <c:v>296.6474212272509</c:v>
                </c:pt>
                <c:pt idx="12">
                  <c:v>317.41274071315848</c:v>
                </c:pt>
                <c:pt idx="13">
                  <c:v>339.63163256307962</c:v>
                </c:pt>
                <c:pt idx="14">
                  <c:v>363.40584684249524</c:v>
                </c:pt>
                <c:pt idx="15">
                  <c:v>388.84425612146993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CD-494D-9457-495AFFD41AF0}"/>
            </c:ext>
          </c:extLst>
        </c:ser>
        <c:ser>
          <c:idx val="3"/>
          <c:order val="3"/>
          <c:tx>
            <c:strRef>
              <c:f>'INPUTS Leads- Trafego pago'!$B$33</c:f>
              <c:strCache>
                <c:ptCount val="1"/>
                <c:pt idx="0">
                  <c:v>TOTAL INVESTIMENTO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pago'!$K$7:$Z$7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pago'!$C$33:$Z$33</c:f>
              <c:numCache>
                <c:formatCode>_-[$R$-416]\ * #,##0.00_-;\-[$R$-416]\ * #,##0.00_-;_-[$R$-416]\ * "-"??_-;_-@_-</c:formatCode>
                <c:ptCount val="16"/>
                <c:pt idx="0">
                  <c:v>3059.0504999999998</c:v>
                </c:pt>
                <c:pt idx="1">
                  <c:v>4568.6511</c:v>
                </c:pt>
                <c:pt idx="2">
                  <c:v>5099.2829999999994</c:v>
                </c:pt>
                <c:pt idx="3">
                  <c:v>4344.5115000000005</c:v>
                </c:pt>
                <c:pt idx="4">
                  <c:v>4565.1901050000006</c:v>
                </c:pt>
                <c:pt idx="5">
                  <c:v>4797.1443523500011</c:v>
                </c:pt>
                <c:pt idx="6">
                  <c:v>5040.9549440145001</c:v>
                </c:pt>
                <c:pt idx="7">
                  <c:v>5297.2328014455161</c:v>
                </c:pt>
                <c:pt idx="8">
                  <c:v>5566.6206594642026</c:v>
                </c:pt>
                <c:pt idx="9">
                  <c:v>5849.7947456400707</c:v>
                </c:pt>
                <c:pt idx="10">
                  <c:v>6147.4665498489203</c:v>
                </c:pt>
                <c:pt idx="11">
                  <c:v>6460.3846889530905</c:v>
                </c:pt>
                <c:pt idx="12">
                  <c:v>6789.3368718252905</c:v>
                </c:pt>
                <c:pt idx="13">
                  <c:v>7135.1519702308187</c:v>
                </c:pt>
                <c:pt idx="14">
                  <c:v>7498.7022013936212</c:v>
                </c:pt>
                <c:pt idx="15">
                  <c:v>7880.9054284001522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CD-494D-9457-495AFFD41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2809711"/>
        <c:axId val="322812623"/>
      </c:barChart>
      <c:catAx>
        <c:axId val="322809711"/>
        <c:scaling>
          <c:orientation val="minMax"/>
        </c:scaling>
        <c:delete val="0"/>
        <c:axPos val="b"/>
        <c:numFmt formatCode="yyyy\-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endParaRPr lang="pt-BR"/>
          </a:p>
        </c:txPr>
        <c:crossAx val="322812623"/>
        <c:crosses val="autoZero"/>
        <c:auto val="0"/>
        <c:lblAlgn val="ctr"/>
        <c:lblOffset val="100"/>
        <c:noMultiLvlLbl val="0"/>
      </c:catAx>
      <c:valAx>
        <c:axId val="322812623"/>
        <c:scaling>
          <c:orientation val="minMax"/>
          <c:max val="8500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32280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Facebook</a:t>
            </a:r>
          </a:p>
        </c:rich>
      </c:tx>
      <c:layout>
        <c:manualLayout>
          <c:xMode val="edge"/>
          <c:yMode val="edge"/>
          <c:x val="0.3970277777777777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-0.18398972003499567"/>
                  <c:y val="-8.03623505395158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'Source- Trafego pago '!$D$38:$D$48</c:f>
              <c:numCache>
                <c:formatCode>_-[$R$-416]\ * #,##0.00_-;\-[$R$-416]\ * #,##0.00_-;_-[$R$-416]\ * "-"??_-;_-@_-</c:formatCode>
                <c:ptCount val="11"/>
                <c:pt idx="0">
                  <c:v>41.929649999999995</c:v>
                </c:pt>
                <c:pt idx="1">
                  <c:v>23.677920000000004</c:v>
                </c:pt>
                <c:pt idx="2">
                  <c:v>59.899499999999996</c:v>
                </c:pt>
                <c:pt idx="3">
                  <c:v>177.58440000000002</c:v>
                </c:pt>
                <c:pt idx="4">
                  <c:v>47.567250000000008</c:v>
                </c:pt>
                <c:pt idx="5">
                  <c:v>8.4564000000000021</c:v>
                </c:pt>
                <c:pt idx="6">
                  <c:v>135.65475000000001</c:v>
                </c:pt>
                <c:pt idx="7">
                  <c:v>81.040499999999994</c:v>
                </c:pt>
                <c:pt idx="8">
                  <c:v>164.8998</c:v>
                </c:pt>
                <c:pt idx="9">
                  <c:v>263.08800000000002</c:v>
                </c:pt>
                <c:pt idx="10">
                  <c:v>172.65150000000003</c:v>
                </c:pt>
              </c:numCache>
            </c:numRef>
          </c:xVal>
          <c:yVal>
            <c:numRef>
              <c:f>'Source- Trafego pago '!$E$38:$E$48</c:f>
              <c:numCache>
                <c:formatCode>_-[$R$-416]\ * #,##0.00_-;\-[$R$-416]\ * #,##0.00_-;_-[$R$-416]\ * "-"??_-;_-@_-</c:formatCode>
                <c:ptCount val="11"/>
                <c:pt idx="0">
                  <c:v>2.9949749999999997</c:v>
                </c:pt>
                <c:pt idx="1">
                  <c:v>2.9597400000000005</c:v>
                </c:pt>
                <c:pt idx="2">
                  <c:v>3.5234999999999999</c:v>
                </c:pt>
                <c:pt idx="3">
                  <c:v>3.2886000000000002</c:v>
                </c:pt>
                <c:pt idx="4">
                  <c:v>3.1711500000000004</c:v>
                </c:pt>
                <c:pt idx="5">
                  <c:v>2.8188000000000004</c:v>
                </c:pt>
                <c:pt idx="6">
                  <c:v>3.8758500000000002</c:v>
                </c:pt>
                <c:pt idx="7">
                  <c:v>3.5234999999999999</c:v>
                </c:pt>
                <c:pt idx="8">
                  <c:v>4.1224949999999998</c:v>
                </c:pt>
                <c:pt idx="9">
                  <c:v>4.1107500000000003</c:v>
                </c:pt>
                <c:pt idx="10">
                  <c:v>4.1107500000000003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A4-4337-8FD8-62DDB38D3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304863"/>
        <c:axId val="2060299455"/>
      </c:scatterChart>
      <c:valAx>
        <c:axId val="2060304863"/>
        <c:scaling>
          <c:orientation val="minMax"/>
        </c:scaling>
        <c:delete val="0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0299455"/>
        <c:crosses val="autoZero"/>
        <c:crossBetween val="midCat"/>
      </c:valAx>
      <c:valAx>
        <c:axId val="2060299455"/>
        <c:scaling>
          <c:orientation val="minMax"/>
        </c:scaling>
        <c:delete val="0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030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r>
              <a:rPr lang="pt-BR" sz="1400" b="1" i="0" baseline="0">
                <a:solidFill>
                  <a:schemeClr val="accent1">
                    <a:lumMod val="50000"/>
                  </a:schemeClr>
                </a:solidFill>
                <a:effectLst/>
                <a:latin typeface="Malgun Gothic" panose="020B0503020000020004" pitchFamily="34" charset="-127"/>
                <a:ea typeface="Malgun Gothic" panose="020B0503020000020004" pitchFamily="34" charset="-127"/>
              </a:rPr>
              <a:t>Evolução do número de leads orgânicos: Real vs Projetado (12 meses)</a:t>
            </a:r>
            <a:endParaRPr lang="pt-BR" sz="1400">
              <a:solidFill>
                <a:schemeClr val="accent1">
                  <a:lumMod val="50000"/>
                </a:schemeClr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'INPUTS Leads- Trafego organico'!$B$13</c:f>
              <c:strCache>
                <c:ptCount val="1"/>
                <c:pt idx="0">
                  <c:v>Total leads Email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organico'!$K$7:$Z$7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organico'!$C$13:$Z$13</c:f>
              <c:numCache>
                <c:formatCode>#,##0</c:formatCode>
                <c:ptCount val="16"/>
                <c:pt idx="0">
                  <c:v>68</c:v>
                </c:pt>
                <c:pt idx="1">
                  <c:v>74</c:v>
                </c:pt>
                <c:pt idx="2">
                  <c:v>50</c:v>
                </c:pt>
                <c:pt idx="3">
                  <c:v>94</c:v>
                </c:pt>
                <c:pt idx="4">
                  <c:v>91</c:v>
                </c:pt>
                <c:pt idx="5">
                  <c:v>97</c:v>
                </c:pt>
                <c:pt idx="6">
                  <c:v>104</c:v>
                </c:pt>
                <c:pt idx="7">
                  <c:v>111</c:v>
                </c:pt>
                <c:pt idx="8">
                  <c:v>117</c:v>
                </c:pt>
                <c:pt idx="9">
                  <c:v>124</c:v>
                </c:pt>
                <c:pt idx="10">
                  <c:v>131</c:v>
                </c:pt>
                <c:pt idx="11">
                  <c:v>137</c:v>
                </c:pt>
                <c:pt idx="12">
                  <c:v>144</c:v>
                </c:pt>
                <c:pt idx="13">
                  <c:v>151</c:v>
                </c:pt>
                <c:pt idx="14">
                  <c:v>157</c:v>
                </c:pt>
                <c:pt idx="15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8-4F64-BB02-7C695AF64A92}"/>
            </c:ext>
          </c:extLst>
        </c:ser>
        <c:ser>
          <c:idx val="1"/>
          <c:order val="1"/>
          <c:tx>
            <c:strRef>
              <c:f>'INPUTS Leads- Trafego organico'!$B$19</c:f>
              <c:strCache>
                <c:ptCount val="1"/>
                <c:pt idx="0">
                  <c:v>Total leads Orgânico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organico'!$K$7:$Z$7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organico'!$C$19:$Z$19</c:f>
              <c:numCache>
                <c:formatCode>#,##0</c:formatCode>
                <c:ptCount val="16"/>
                <c:pt idx="0">
                  <c:v>725</c:v>
                </c:pt>
                <c:pt idx="1">
                  <c:v>814</c:v>
                </c:pt>
                <c:pt idx="2">
                  <c:v>999</c:v>
                </c:pt>
                <c:pt idx="3">
                  <c:v>923</c:v>
                </c:pt>
                <c:pt idx="4">
                  <c:v>1161</c:v>
                </c:pt>
                <c:pt idx="5">
                  <c:v>1252</c:v>
                </c:pt>
                <c:pt idx="6">
                  <c:v>1343</c:v>
                </c:pt>
                <c:pt idx="7">
                  <c:v>1435</c:v>
                </c:pt>
                <c:pt idx="8">
                  <c:v>1526</c:v>
                </c:pt>
                <c:pt idx="9">
                  <c:v>1618</c:v>
                </c:pt>
                <c:pt idx="10">
                  <c:v>1709</c:v>
                </c:pt>
                <c:pt idx="11">
                  <c:v>1800</c:v>
                </c:pt>
                <c:pt idx="12">
                  <c:v>1892</c:v>
                </c:pt>
                <c:pt idx="13">
                  <c:v>1983</c:v>
                </c:pt>
                <c:pt idx="14">
                  <c:v>2074</c:v>
                </c:pt>
                <c:pt idx="15">
                  <c:v>2166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78-4F64-BB02-7C695AF64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291567"/>
        <c:axId val="420291983"/>
      </c:lineChart>
      <c:dateAx>
        <c:axId val="420291567"/>
        <c:scaling>
          <c:orientation val="minMax"/>
        </c:scaling>
        <c:delete val="0"/>
        <c:axPos val="b"/>
        <c:numFmt formatCode="yyyy\-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endParaRPr lang="pt-BR"/>
          </a:p>
        </c:txPr>
        <c:crossAx val="420291983"/>
        <c:crosses val="autoZero"/>
        <c:auto val="1"/>
        <c:lblOffset val="100"/>
        <c:baseTimeUnit val="months"/>
      </c:dateAx>
      <c:valAx>
        <c:axId val="420291983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42029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r>
              <a:rPr lang="pt-BR" sz="14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Malgun Gothic" panose="020B0503020000020004" pitchFamily="34" charset="-127"/>
                <a:ea typeface="Malgun Gothic" panose="020B0503020000020004" pitchFamily="34" charset="-127"/>
              </a:rPr>
              <a:t>Evolução do número de sessões orgânicos: Real vs Projeção (12 meses)</a:t>
            </a:r>
            <a:endParaRPr lang="pt-BR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617547788289973E-2"/>
          <c:y val="0.2110987396571995"/>
          <c:w val="0.96617854624484578"/>
          <c:h val="0.692539654914830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'INPUTS Leads- Trafego organico'!$B$11</c:f>
              <c:strCache>
                <c:ptCount val="1"/>
                <c:pt idx="0">
                  <c:v>Sessões Email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organico'!$K$7:$Z$7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organico'!$C$11:$Z$11</c:f>
              <c:numCache>
                <c:formatCode>#,##0</c:formatCode>
                <c:ptCount val="16"/>
                <c:pt idx="0">
                  <c:v>221</c:v>
                </c:pt>
                <c:pt idx="1">
                  <c:v>248</c:v>
                </c:pt>
                <c:pt idx="2">
                  <c:v>173</c:v>
                </c:pt>
                <c:pt idx="3">
                  <c:v>306</c:v>
                </c:pt>
                <c:pt idx="4">
                  <c:v>284</c:v>
                </c:pt>
                <c:pt idx="5">
                  <c:v>303</c:v>
                </c:pt>
                <c:pt idx="6">
                  <c:v>325</c:v>
                </c:pt>
                <c:pt idx="7">
                  <c:v>346</c:v>
                </c:pt>
                <c:pt idx="8">
                  <c:v>365</c:v>
                </c:pt>
                <c:pt idx="9">
                  <c:v>387</c:v>
                </c:pt>
                <c:pt idx="10">
                  <c:v>409</c:v>
                </c:pt>
                <c:pt idx="11">
                  <c:v>428</c:v>
                </c:pt>
                <c:pt idx="12">
                  <c:v>450</c:v>
                </c:pt>
                <c:pt idx="13">
                  <c:v>471</c:v>
                </c:pt>
                <c:pt idx="14">
                  <c:v>490</c:v>
                </c:pt>
                <c:pt idx="15">
                  <c:v>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B-4235-BB13-F6DEC07B266C}"/>
            </c:ext>
          </c:extLst>
        </c:ser>
        <c:ser>
          <c:idx val="1"/>
          <c:order val="1"/>
          <c:tx>
            <c:strRef>
              <c:f>'INPUTS Leads- Trafego organico'!$B$17</c:f>
              <c:strCache>
                <c:ptCount val="1"/>
                <c:pt idx="0">
                  <c:v>Sessões Orgânico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organico'!$K$7:$Z$7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organico'!$C$17:$Z$17</c:f>
              <c:numCache>
                <c:formatCode>#,##0</c:formatCode>
                <c:ptCount val="16"/>
                <c:pt idx="0">
                  <c:v>3459</c:v>
                </c:pt>
                <c:pt idx="1">
                  <c:v>4066</c:v>
                </c:pt>
                <c:pt idx="2">
                  <c:v>5240</c:v>
                </c:pt>
                <c:pt idx="3">
                  <c:v>4404</c:v>
                </c:pt>
                <c:pt idx="4">
                  <c:v>5277</c:v>
                </c:pt>
                <c:pt idx="5">
                  <c:v>5690</c:v>
                </c:pt>
                <c:pt idx="6">
                  <c:v>6104</c:v>
                </c:pt>
                <c:pt idx="7">
                  <c:v>6522</c:v>
                </c:pt>
                <c:pt idx="8">
                  <c:v>6936</c:v>
                </c:pt>
                <c:pt idx="9">
                  <c:v>7354</c:v>
                </c:pt>
                <c:pt idx="10">
                  <c:v>7768</c:v>
                </c:pt>
                <c:pt idx="11">
                  <c:v>8181</c:v>
                </c:pt>
                <c:pt idx="12">
                  <c:v>8600</c:v>
                </c:pt>
                <c:pt idx="13">
                  <c:v>9013</c:v>
                </c:pt>
                <c:pt idx="14">
                  <c:v>9427</c:v>
                </c:pt>
                <c:pt idx="15">
                  <c:v>9845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BB-4235-BB13-F6DEC07B266C}"/>
            </c:ext>
          </c:extLst>
        </c:ser>
        <c:ser>
          <c:idx val="2"/>
          <c:order val="2"/>
          <c:tx>
            <c:strRef>
              <c:f>'INPUTS Leads- Trafego organico'!$B$23</c:f>
              <c:strCache>
                <c:ptCount val="1"/>
                <c:pt idx="0">
                  <c:v>TOTAL Sessões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organico'!$K$7:$Z$7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organico'!$C$23:$Z$23</c:f>
              <c:numCache>
                <c:formatCode>#,##0</c:formatCode>
                <c:ptCount val="16"/>
                <c:pt idx="0">
                  <c:v>3680</c:v>
                </c:pt>
                <c:pt idx="1">
                  <c:v>4314</c:v>
                </c:pt>
                <c:pt idx="2">
                  <c:v>5413</c:v>
                </c:pt>
                <c:pt idx="3">
                  <c:v>4710</c:v>
                </c:pt>
                <c:pt idx="4">
                  <c:v>5561</c:v>
                </c:pt>
                <c:pt idx="5">
                  <c:v>5993</c:v>
                </c:pt>
                <c:pt idx="6">
                  <c:v>6429</c:v>
                </c:pt>
                <c:pt idx="7">
                  <c:v>6868</c:v>
                </c:pt>
                <c:pt idx="8">
                  <c:v>7301</c:v>
                </c:pt>
                <c:pt idx="9">
                  <c:v>7741</c:v>
                </c:pt>
                <c:pt idx="10">
                  <c:v>8177</c:v>
                </c:pt>
                <c:pt idx="11">
                  <c:v>8609</c:v>
                </c:pt>
                <c:pt idx="12">
                  <c:v>9050</c:v>
                </c:pt>
                <c:pt idx="13">
                  <c:v>9484</c:v>
                </c:pt>
                <c:pt idx="14">
                  <c:v>9917</c:v>
                </c:pt>
                <c:pt idx="15">
                  <c:v>10357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BB-4235-BB13-F6DEC07B2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4205615"/>
        <c:axId val="254203951"/>
      </c:barChart>
      <c:dateAx>
        <c:axId val="254205615"/>
        <c:scaling>
          <c:orientation val="minMax"/>
        </c:scaling>
        <c:delete val="0"/>
        <c:axPos val="b"/>
        <c:numFmt formatCode="yyyy\-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endParaRPr lang="pt-BR"/>
          </a:p>
        </c:txPr>
        <c:crossAx val="254203951"/>
        <c:crosses val="autoZero"/>
        <c:auto val="1"/>
        <c:lblOffset val="300"/>
        <c:baseTimeUnit val="months"/>
      </c:dateAx>
      <c:valAx>
        <c:axId val="254203951"/>
        <c:scaling>
          <c:orientation val="minMax"/>
          <c:max val="11000"/>
        </c:scaling>
        <c:delete val="1"/>
        <c:axPos val="l"/>
        <c:numFmt formatCode="#,##0" sourceLinked="1"/>
        <c:majorTickMark val="none"/>
        <c:minorTickMark val="none"/>
        <c:tickLblPos val="nextTo"/>
        <c:crossAx val="25420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baseline="0">
                <a:solidFill>
                  <a:schemeClr val="accent1">
                    <a:lumMod val="50000"/>
                  </a:schemeClr>
                </a:solidFill>
                <a:effectLst/>
              </a:rPr>
              <a:t>Evolução do desempenho de vendas: Real vs Projetado (12 meses)</a:t>
            </a:r>
            <a:endParaRPr lang="pt-BR" sz="1400">
              <a:solidFill>
                <a:schemeClr val="accent1">
                  <a:lumMod val="50000"/>
                </a:scheme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'OUTPUT Desempenho de Vendas'!$B$11</c:f>
              <c:strCache>
                <c:ptCount val="1"/>
                <c:pt idx="0">
                  <c:v>Total de vendas Search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 Desempenho de Vendas'!$K$6:$Z$6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 Desempenho de Vendas'!$C$11:$Z$11</c:f>
              <c:numCache>
                <c:formatCode>General</c:formatCode>
                <c:ptCount val="16"/>
                <c:pt idx="0">
                  <c:v>43</c:v>
                </c:pt>
                <c:pt idx="1">
                  <c:v>39</c:v>
                </c:pt>
                <c:pt idx="2">
                  <c:v>43</c:v>
                </c:pt>
                <c:pt idx="3">
                  <c:v>30</c:v>
                </c:pt>
                <c:pt idx="4" formatCode="0">
                  <c:v>41</c:v>
                </c:pt>
                <c:pt idx="5" formatCode="0">
                  <c:v>42</c:v>
                </c:pt>
                <c:pt idx="6" formatCode="0">
                  <c:v>41</c:v>
                </c:pt>
                <c:pt idx="7" formatCode="0">
                  <c:v>45</c:v>
                </c:pt>
                <c:pt idx="8" formatCode="0">
                  <c:v>46</c:v>
                </c:pt>
                <c:pt idx="9" formatCode="0">
                  <c:v>48</c:v>
                </c:pt>
                <c:pt idx="10" formatCode="0">
                  <c:v>50</c:v>
                </c:pt>
                <c:pt idx="11" formatCode="0">
                  <c:v>52</c:v>
                </c:pt>
                <c:pt idx="12" formatCode="0">
                  <c:v>54</c:v>
                </c:pt>
                <c:pt idx="13" formatCode="0">
                  <c:v>56</c:v>
                </c:pt>
                <c:pt idx="14" formatCode="0">
                  <c:v>59</c:v>
                </c:pt>
                <c:pt idx="15" formatCode="0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E7-45D5-B310-2FD1BE5AC8D6}"/>
            </c:ext>
          </c:extLst>
        </c:ser>
        <c:ser>
          <c:idx val="1"/>
          <c:order val="1"/>
          <c:tx>
            <c:strRef>
              <c:f>'OUTPUT Desempenho de Vendas'!$B$16</c:f>
              <c:strCache>
                <c:ptCount val="1"/>
                <c:pt idx="0">
                  <c:v>Total de vendas Display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 Desempenho de Vendas'!$K$6:$Z$6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 Desempenho de Vendas'!$C$16:$Z$16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E7-45D5-B310-2FD1BE5AC8D6}"/>
            </c:ext>
          </c:extLst>
        </c:ser>
        <c:ser>
          <c:idx val="2"/>
          <c:order val="2"/>
          <c:tx>
            <c:strRef>
              <c:f>'OUTPUT Desempenho de Vendas'!$B$21</c:f>
              <c:strCache>
                <c:ptCount val="1"/>
                <c:pt idx="0">
                  <c:v>Total de vendas Facebook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 Desempenho de Vendas'!$K$6:$Z$6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 Desempenho de Vendas'!$C$21:$Z$21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 formatCode="0">
                  <c:v>0</c:v>
                </c:pt>
                <c:pt idx="4" formatCode="0">
                  <c:v>0.75</c:v>
                </c:pt>
                <c:pt idx="5" formatCode="0">
                  <c:v>0.75</c:v>
                </c:pt>
                <c:pt idx="6" formatCode="0">
                  <c:v>0.75</c:v>
                </c:pt>
                <c:pt idx="7" formatCode="0">
                  <c:v>0.875</c:v>
                </c:pt>
                <c:pt idx="8" formatCode="0">
                  <c:v>0.875</c:v>
                </c:pt>
                <c:pt idx="9" formatCode="0">
                  <c:v>0.875</c:v>
                </c:pt>
                <c:pt idx="10" formatCode="0">
                  <c:v>1</c:v>
                </c:pt>
                <c:pt idx="11" formatCode="0">
                  <c:v>1</c:v>
                </c:pt>
                <c:pt idx="12" formatCode="0">
                  <c:v>1</c:v>
                </c:pt>
                <c:pt idx="13" formatCode="0">
                  <c:v>1.125</c:v>
                </c:pt>
                <c:pt idx="14" formatCode="0">
                  <c:v>2</c:v>
                </c:pt>
                <c:pt idx="15" formatCode="0">
                  <c:v>2.125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E7-45D5-B310-2FD1BE5AC8D6}"/>
            </c:ext>
          </c:extLst>
        </c:ser>
        <c:ser>
          <c:idx val="3"/>
          <c:order val="3"/>
          <c:tx>
            <c:strRef>
              <c:f>'OUTPUT Desempenho de Vendas'!$B$26</c:f>
              <c:strCache>
                <c:ptCount val="1"/>
                <c:pt idx="0">
                  <c:v>Total de vendas Email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 Desempenho de Vendas'!$K$6:$Z$6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 Desempenho de Vendas'!$C$26:$Z$26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E7-45D5-B310-2FD1BE5AC8D6}"/>
            </c:ext>
          </c:extLst>
        </c:ser>
        <c:ser>
          <c:idx val="4"/>
          <c:order val="4"/>
          <c:tx>
            <c:strRef>
              <c:f>'OUTPUT Desempenho de Vendas'!$B$31</c:f>
              <c:strCache>
                <c:ptCount val="1"/>
                <c:pt idx="0">
                  <c:v>Total de vendas Orgânico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 Desempenho de Vendas'!$K$6:$Z$6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 Desempenho de Vendas'!$C$31:$Z$31</c:f>
              <c:numCache>
                <c:formatCode>General</c:formatCode>
                <c:ptCount val="16"/>
                <c:pt idx="0">
                  <c:v>100.99999999999999</c:v>
                </c:pt>
                <c:pt idx="1">
                  <c:v>121.99999999999999</c:v>
                </c:pt>
                <c:pt idx="2">
                  <c:v>135</c:v>
                </c:pt>
                <c:pt idx="3">
                  <c:v>97</c:v>
                </c:pt>
                <c:pt idx="4">
                  <c:v>150</c:v>
                </c:pt>
                <c:pt idx="5">
                  <c:v>154</c:v>
                </c:pt>
                <c:pt idx="6">
                  <c:v>160</c:v>
                </c:pt>
                <c:pt idx="7">
                  <c:v>178</c:v>
                </c:pt>
                <c:pt idx="8">
                  <c:v>186</c:v>
                </c:pt>
                <c:pt idx="9">
                  <c:v>197</c:v>
                </c:pt>
                <c:pt idx="10">
                  <c:v>210</c:v>
                </c:pt>
                <c:pt idx="11">
                  <c:v>220</c:v>
                </c:pt>
                <c:pt idx="12">
                  <c:v>231</c:v>
                </c:pt>
                <c:pt idx="13">
                  <c:v>243</c:v>
                </c:pt>
                <c:pt idx="14">
                  <c:v>254</c:v>
                </c:pt>
                <c:pt idx="15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E7-45D5-B310-2FD1BE5AC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766863"/>
        <c:axId val="322762703"/>
      </c:lineChart>
      <c:dateAx>
        <c:axId val="322766863"/>
        <c:scaling>
          <c:orientation val="minMax"/>
        </c:scaling>
        <c:delete val="0"/>
        <c:axPos val="b"/>
        <c:numFmt formatCode="yyyy\-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endParaRPr lang="pt-BR"/>
          </a:p>
        </c:txPr>
        <c:crossAx val="322762703"/>
        <c:crosses val="autoZero"/>
        <c:auto val="1"/>
        <c:lblOffset val="300"/>
        <c:baseTimeUnit val="months"/>
      </c:dateAx>
      <c:valAx>
        <c:axId val="322762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276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r>
              <a:rPr lang="pt-BR" sz="1400" b="1" i="0" baseline="0">
                <a:solidFill>
                  <a:schemeClr val="accent1">
                    <a:lumMod val="75000"/>
                  </a:schemeClr>
                </a:solidFill>
                <a:effectLst/>
                <a:latin typeface="Malgun Gothic" panose="020B0503020000020004" pitchFamily="34" charset="-127"/>
                <a:ea typeface="Malgun Gothic" panose="020B0503020000020004" pitchFamily="34" charset="-127"/>
              </a:rPr>
              <a:t>Evolução do número de leads: Real vs Projetado (12 meses)</a:t>
            </a:r>
            <a:endParaRPr lang="pt-BR" sz="1400">
              <a:solidFill>
                <a:schemeClr val="accent1">
                  <a:lumMod val="75000"/>
                </a:schemeClr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75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1904517288310352E-2"/>
          <c:y val="0.19342763477524857"/>
          <c:w val="0.9229974465959615"/>
          <c:h val="0.675688739926471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'OUTPUT Desempenho de Vendas'!$B$9</c:f>
              <c:strCache>
                <c:ptCount val="1"/>
                <c:pt idx="0">
                  <c:v>Leads Search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7"/>
              <c:layout>
                <c:manualLayout>
                  <c:x val="0"/>
                  <c:y val="2.89057665183368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F19-4F60-9FC4-DF674B4885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 Desempenho de Vendas'!$K$6:$Z$6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 Desempenho de Vendas'!$C$9:$Z$9</c:f>
              <c:numCache>
                <c:formatCode>General</c:formatCode>
                <c:ptCount val="16"/>
                <c:pt idx="0">
                  <c:v>212</c:v>
                </c:pt>
                <c:pt idx="1">
                  <c:v>262</c:v>
                </c:pt>
                <c:pt idx="2">
                  <c:v>272</c:v>
                </c:pt>
                <c:pt idx="3">
                  <c:v>266</c:v>
                </c:pt>
                <c:pt idx="4">
                  <c:v>298</c:v>
                </c:pt>
                <c:pt idx="5">
                  <c:v>310</c:v>
                </c:pt>
                <c:pt idx="6">
                  <c:v>323</c:v>
                </c:pt>
                <c:pt idx="7">
                  <c:v>335</c:v>
                </c:pt>
                <c:pt idx="8">
                  <c:v>349</c:v>
                </c:pt>
                <c:pt idx="9">
                  <c:v>363</c:v>
                </c:pt>
                <c:pt idx="10">
                  <c:v>377</c:v>
                </c:pt>
                <c:pt idx="11">
                  <c:v>392</c:v>
                </c:pt>
                <c:pt idx="12">
                  <c:v>408</c:v>
                </c:pt>
                <c:pt idx="13">
                  <c:v>424</c:v>
                </c:pt>
                <c:pt idx="14">
                  <c:v>441</c:v>
                </c:pt>
                <c:pt idx="15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9-4F60-9FC4-DF674B4885BB}"/>
            </c:ext>
          </c:extLst>
        </c:ser>
        <c:ser>
          <c:idx val="1"/>
          <c:order val="1"/>
          <c:tx>
            <c:strRef>
              <c:f>'OUTPUT Desempenho de Vendas'!$B$14</c:f>
              <c:strCache>
                <c:ptCount val="1"/>
                <c:pt idx="0">
                  <c:v>Leads Display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5"/>
              <c:layout>
                <c:manualLayout>
                  <c:x val="-1.5624998077633111E-3"/>
                  <c:y val="-2.0968541075110464E-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F19-4F60-9FC4-DF674B4885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 Desempenho de Vendas'!$K$6:$Z$6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 Desempenho de Vendas'!$C$14:$Z$14</c:f>
              <c:numCache>
                <c:formatCode>General</c:formatCode>
                <c:ptCount val="16"/>
                <c:pt idx="0">
                  <c:v>18</c:v>
                </c:pt>
                <c:pt idx="1">
                  <c:v>16</c:v>
                </c:pt>
                <c:pt idx="2">
                  <c:v>19</c:v>
                </c:pt>
                <c:pt idx="3">
                  <c:v>11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19-4F60-9FC4-DF674B4885BB}"/>
            </c:ext>
          </c:extLst>
        </c:ser>
        <c:ser>
          <c:idx val="2"/>
          <c:order val="2"/>
          <c:tx>
            <c:strRef>
              <c:f>'OUTPUT Desempenho de Vendas'!$B$19</c:f>
              <c:strCache>
                <c:ptCount val="1"/>
                <c:pt idx="0">
                  <c:v>Leads Facebook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'OUTPUT Desempenho de Vendas'!$K$6:$Z$6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 Desempenho de Vendas'!$C$19:$Z$19</c:f>
              <c:numCache>
                <c:formatCode>General</c:formatCode>
                <c:ptCount val="16"/>
                <c:pt idx="0">
                  <c:v>5</c:v>
                </c:pt>
                <c:pt idx="1">
                  <c:v>8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16</c:v>
                </c:pt>
                <c:pt idx="1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19-4F60-9FC4-DF674B4885BB}"/>
            </c:ext>
          </c:extLst>
        </c:ser>
        <c:ser>
          <c:idx val="3"/>
          <c:order val="3"/>
          <c:tx>
            <c:strRef>
              <c:f>'OUTPUT Desempenho de Vendas'!$B$24</c:f>
              <c:strCache>
                <c:ptCount val="1"/>
                <c:pt idx="0">
                  <c:v>Leads Email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7"/>
              <c:layout>
                <c:manualLayout>
                  <c:x val="0"/>
                  <c:y val="-2.890576651833789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F19-4F60-9FC4-DF674B4885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 Desempenho de Vendas'!$K$6:$Z$6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 Desempenho de Vendas'!$C$24:$Z$24</c:f>
              <c:numCache>
                <c:formatCode>General</c:formatCode>
                <c:ptCount val="16"/>
                <c:pt idx="0">
                  <c:v>68</c:v>
                </c:pt>
                <c:pt idx="1">
                  <c:v>74</c:v>
                </c:pt>
                <c:pt idx="2">
                  <c:v>50</c:v>
                </c:pt>
                <c:pt idx="3">
                  <c:v>94</c:v>
                </c:pt>
                <c:pt idx="4">
                  <c:v>91</c:v>
                </c:pt>
                <c:pt idx="5">
                  <c:v>97</c:v>
                </c:pt>
                <c:pt idx="6">
                  <c:v>104</c:v>
                </c:pt>
                <c:pt idx="7">
                  <c:v>111</c:v>
                </c:pt>
                <c:pt idx="8">
                  <c:v>117</c:v>
                </c:pt>
                <c:pt idx="9">
                  <c:v>124</c:v>
                </c:pt>
                <c:pt idx="10">
                  <c:v>131</c:v>
                </c:pt>
                <c:pt idx="11">
                  <c:v>137</c:v>
                </c:pt>
                <c:pt idx="12">
                  <c:v>144</c:v>
                </c:pt>
                <c:pt idx="13">
                  <c:v>151</c:v>
                </c:pt>
                <c:pt idx="14">
                  <c:v>157</c:v>
                </c:pt>
                <c:pt idx="15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19-4F60-9FC4-DF674B4885BB}"/>
            </c:ext>
          </c:extLst>
        </c:ser>
        <c:ser>
          <c:idx val="4"/>
          <c:order val="4"/>
          <c:tx>
            <c:strRef>
              <c:f>'OUTPUT Desempenho de Vendas'!$B$29</c:f>
              <c:strCache>
                <c:ptCount val="1"/>
                <c:pt idx="0">
                  <c:v>Leads Orgânico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 Desempenho de Vendas'!$K$6:$Z$6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 Desempenho de Vendas'!$C$29:$Z$29</c:f>
              <c:numCache>
                <c:formatCode>General</c:formatCode>
                <c:ptCount val="16"/>
                <c:pt idx="0">
                  <c:v>725</c:v>
                </c:pt>
                <c:pt idx="1">
                  <c:v>814</c:v>
                </c:pt>
                <c:pt idx="2">
                  <c:v>999</c:v>
                </c:pt>
                <c:pt idx="3">
                  <c:v>923</c:v>
                </c:pt>
                <c:pt idx="4">
                  <c:v>1161</c:v>
                </c:pt>
                <c:pt idx="5">
                  <c:v>1252</c:v>
                </c:pt>
                <c:pt idx="6">
                  <c:v>1343</c:v>
                </c:pt>
                <c:pt idx="7">
                  <c:v>1435</c:v>
                </c:pt>
                <c:pt idx="8">
                  <c:v>1526</c:v>
                </c:pt>
                <c:pt idx="9">
                  <c:v>1618</c:v>
                </c:pt>
                <c:pt idx="10">
                  <c:v>1709</c:v>
                </c:pt>
                <c:pt idx="11">
                  <c:v>1800</c:v>
                </c:pt>
                <c:pt idx="12">
                  <c:v>1892</c:v>
                </c:pt>
                <c:pt idx="13">
                  <c:v>1983</c:v>
                </c:pt>
                <c:pt idx="14">
                  <c:v>2074</c:v>
                </c:pt>
                <c:pt idx="15">
                  <c:v>2166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19-4F60-9FC4-DF674B4885BB}"/>
            </c:ext>
          </c:extLst>
        </c:ser>
        <c:ser>
          <c:idx val="5"/>
          <c:order val="5"/>
          <c:tx>
            <c:strRef>
              <c:f>'OUTPUT Desempenho de Vendas'!$B$33</c:f>
              <c:strCache>
                <c:ptCount val="1"/>
                <c:pt idx="0">
                  <c:v>Total Leads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 Desempenho de Vendas'!$K$6:$Z$6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'OUTPUT Desempenho de Vendas'!$C$33:$Z$33</c:f>
              <c:numCache>
                <c:formatCode>#,##0</c:formatCode>
                <c:ptCount val="16"/>
                <c:pt idx="0">
                  <c:v>1028</c:v>
                </c:pt>
                <c:pt idx="1">
                  <c:v>1174</c:v>
                </c:pt>
                <c:pt idx="2">
                  <c:v>1352</c:v>
                </c:pt>
                <c:pt idx="3">
                  <c:v>1303</c:v>
                </c:pt>
                <c:pt idx="4">
                  <c:v>1568</c:v>
                </c:pt>
                <c:pt idx="5">
                  <c:v>1677</c:v>
                </c:pt>
                <c:pt idx="6">
                  <c:v>1789</c:v>
                </c:pt>
                <c:pt idx="7">
                  <c:v>1901</c:v>
                </c:pt>
                <c:pt idx="8">
                  <c:v>2013</c:v>
                </c:pt>
                <c:pt idx="9">
                  <c:v>2126</c:v>
                </c:pt>
                <c:pt idx="10">
                  <c:v>2240</c:v>
                </c:pt>
                <c:pt idx="11">
                  <c:v>2353</c:v>
                </c:pt>
                <c:pt idx="12">
                  <c:v>2468</c:v>
                </c:pt>
                <c:pt idx="13">
                  <c:v>2584</c:v>
                </c:pt>
                <c:pt idx="14">
                  <c:v>2706</c:v>
                </c:pt>
                <c:pt idx="15">
                  <c:v>2824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19-4F60-9FC4-DF674B488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5529215"/>
        <c:axId val="355524223"/>
      </c:barChart>
      <c:dateAx>
        <c:axId val="355529215"/>
        <c:scaling>
          <c:orientation val="minMax"/>
        </c:scaling>
        <c:delete val="0"/>
        <c:axPos val="b"/>
        <c:numFmt formatCode="yyyy\-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endParaRPr lang="pt-BR"/>
          </a:p>
        </c:txPr>
        <c:crossAx val="355524223"/>
        <c:crosses val="autoZero"/>
        <c:auto val="1"/>
        <c:lblOffset val="100"/>
        <c:baseTimeUnit val="months"/>
      </c:dateAx>
      <c:valAx>
        <c:axId val="355524223"/>
        <c:scaling>
          <c:orientation val="minMax"/>
          <c:max val="3000"/>
        </c:scaling>
        <c:delete val="1"/>
        <c:axPos val="l"/>
        <c:numFmt formatCode="General" sourceLinked="1"/>
        <c:majorTickMark val="none"/>
        <c:minorTickMark val="none"/>
        <c:tickLblPos val="nextTo"/>
        <c:crossAx val="35552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Regresão Linear - Projeção de leads</a:t>
            </a:r>
            <a:r>
              <a:rPr lang="pt-BR" b="1" baseline="0"/>
              <a:t> por mês</a:t>
            </a:r>
            <a:endParaRPr lang="pt-B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-0.29124415949554294"/>
                  <c:y val="-7.4907274559629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strRef>
              <c:f>'Projeção estudo Leads Organico'!$B$27:$B$37</c:f>
              <c:strCache>
                <c:ptCount val="11"/>
                <c:pt idx="0">
                  <c:v>2017-07</c:v>
                </c:pt>
                <c:pt idx="1">
                  <c:v>2017-08</c:v>
                </c:pt>
                <c:pt idx="2">
                  <c:v>2017-09</c:v>
                </c:pt>
                <c:pt idx="3">
                  <c:v>2017-10</c:v>
                </c:pt>
                <c:pt idx="4">
                  <c:v>2017-11</c:v>
                </c:pt>
                <c:pt idx="5">
                  <c:v>2017-12</c:v>
                </c:pt>
                <c:pt idx="6">
                  <c:v>2018-01</c:v>
                </c:pt>
                <c:pt idx="7">
                  <c:v>2018-02</c:v>
                </c:pt>
                <c:pt idx="8">
                  <c:v>2018-03</c:v>
                </c:pt>
                <c:pt idx="9">
                  <c:v>2018-04</c:v>
                </c:pt>
                <c:pt idx="10">
                  <c:v>2018-05</c:v>
                </c:pt>
              </c:strCache>
            </c:strRef>
          </c:xVal>
          <c:yVal>
            <c:numRef>
              <c:f>'Projeção estudo Leads Organico'!$C$27:$C$37</c:f>
              <c:numCache>
                <c:formatCode>General</c:formatCode>
                <c:ptCount val="11"/>
                <c:pt idx="0">
                  <c:v>142</c:v>
                </c:pt>
                <c:pt idx="1">
                  <c:v>279</c:v>
                </c:pt>
                <c:pt idx="2">
                  <c:v>216</c:v>
                </c:pt>
                <c:pt idx="3">
                  <c:v>270</c:v>
                </c:pt>
                <c:pt idx="4">
                  <c:v>329</c:v>
                </c:pt>
                <c:pt idx="5">
                  <c:v>147</c:v>
                </c:pt>
                <c:pt idx="6">
                  <c:v>892</c:v>
                </c:pt>
                <c:pt idx="7">
                  <c:v>725</c:v>
                </c:pt>
                <c:pt idx="8">
                  <c:v>814</c:v>
                </c:pt>
                <c:pt idx="9">
                  <c:v>999</c:v>
                </c:pt>
                <c:pt idx="10">
                  <c:v>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36-4510-990F-4426A6351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07952"/>
        <c:axId val="428207536"/>
      </c:scatterChart>
      <c:valAx>
        <c:axId val="428207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8207536"/>
        <c:crosses val="autoZero"/>
        <c:crossBetween val="midCat"/>
      </c:valAx>
      <c:valAx>
        <c:axId val="42820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820795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 b="1"/>
              <a:t>Regresão Linear - Projeção email de leads por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-0.28997200349956254"/>
                  <c:y val="-6.31944444444444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strRef>
              <c:f>'Projeção estudo Leads Email'!$B$27:$B$37</c:f>
              <c:strCache>
                <c:ptCount val="11"/>
                <c:pt idx="0">
                  <c:v>2017-07</c:v>
                </c:pt>
                <c:pt idx="1">
                  <c:v>2017-08</c:v>
                </c:pt>
                <c:pt idx="2">
                  <c:v>2017-09</c:v>
                </c:pt>
                <c:pt idx="3">
                  <c:v>2017-10</c:v>
                </c:pt>
                <c:pt idx="4">
                  <c:v>2017-11</c:v>
                </c:pt>
                <c:pt idx="5">
                  <c:v>2017-12</c:v>
                </c:pt>
                <c:pt idx="6">
                  <c:v>2018-01</c:v>
                </c:pt>
                <c:pt idx="7">
                  <c:v>2018-02</c:v>
                </c:pt>
                <c:pt idx="8">
                  <c:v>2018-03</c:v>
                </c:pt>
                <c:pt idx="9">
                  <c:v>2018-04</c:v>
                </c:pt>
                <c:pt idx="10">
                  <c:v>2018-05</c:v>
                </c:pt>
              </c:strCache>
            </c:strRef>
          </c:xVal>
          <c:yVal>
            <c:numRef>
              <c:f>'Projeção estudo Leads Email'!$C$27:$C$37</c:f>
              <c:numCache>
                <c:formatCode>General</c:formatCode>
                <c:ptCount val="11"/>
                <c:pt idx="0">
                  <c:v>19</c:v>
                </c:pt>
                <c:pt idx="1">
                  <c:v>24</c:v>
                </c:pt>
                <c:pt idx="2">
                  <c:v>23</c:v>
                </c:pt>
                <c:pt idx="3">
                  <c:v>30</c:v>
                </c:pt>
                <c:pt idx="4">
                  <c:v>37</c:v>
                </c:pt>
                <c:pt idx="5">
                  <c:v>12</c:v>
                </c:pt>
                <c:pt idx="6">
                  <c:v>61</c:v>
                </c:pt>
                <c:pt idx="7">
                  <c:v>68</c:v>
                </c:pt>
                <c:pt idx="8">
                  <c:v>74</c:v>
                </c:pt>
                <c:pt idx="9">
                  <c:v>50</c:v>
                </c:pt>
                <c:pt idx="10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18-4CD8-BA9E-E27636F0B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858464"/>
        <c:axId val="485841408"/>
      </c:scatterChart>
      <c:valAx>
        <c:axId val="48585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5841408"/>
        <c:crosses val="autoZero"/>
        <c:crossBetween val="midCat"/>
      </c:valAx>
      <c:valAx>
        <c:axId val="485841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585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17318</xdr:colOff>
      <xdr:row>35</xdr:row>
      <xdr:rowOff>178379</xdr:rowOff>
    </xdr:from>
    <xdr:to>
      <xdr:col>18</xdr:col>
      <xdr:colOff>432954</xdr:colOff>
      <xdr:row>58</xdr:row>
      <xdr:rowOff>14433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2B2664-0305-4F3A-4E6C-7219A197E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734786</xdr:colOff>
      <xdr:row>41</xdr:row>
      <xdr:rowOff>59531</xdr:rowOff>
    </xdr:from>
    <xdr:to>
      <xdr:col>10</xdr:col>
      <xdr:colOff>762000</xdr:colOff>
      <xdr:row>54</xdr:row>
      <xdr:rowOff>81643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20937638-EF96-27BD-CA09-CA3898EA0030}"/>
            </a:ext>
          </a:extLst>
        </xdr:cNvPr>
        <xdr:cNvCxnSpPr/>
      </xdr:nvCxnSpPr>
      <xdr:spPr>
        <a:xfrm flipV="1">
          <a:off x="2857500" y="8495960"/>
          <a:ext cx="27214" cy="2675504"/>
        </a:xfrm>
        <a:prstGeom prst="line">
          <a:avLst/>
        </a:prstGeom>
        <a:ln w="22225">
          <a:solidFill>
            <a:schemeClr val="accent1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1500187</xdr:colOff>
      <xdr:row>41</xdr:row>
      <xdr:rowOff>57150</xdr:rowOff>
    </xdr:from>
    <xdr:ext cx="699935" cy="3140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BDEA8F8B-DDCE-4D03-CD89-BF8EDD96E0F9}"/>
            </a:ext>
          </a:extLst>
        </xdr:cNvPr>
        <xdr:cNvSpPr txBox="1"/>
      </xdr:nvSpPr>
      <xdr:spPr>
        <a:xfrm>
          <a:off x="1757362" y="8324850"/>
          <a:ext cx="699935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000" b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rPr>
            <a:t>Histórico</a:t>
          </a:r>
        </a:p>
      </xdr:txBody>
    </xdr:sp>
    <xdr:clientData/>
  </xdr:oneCellAnchor>
  <xdr:oneCellAnchor>
    <xdr:from>
      <xdr:col>11</xdr:col>
      <xdr:colOff>247646</xdr:colOff>
      <xdr:row>41</xdr:row>
      <xdr:rowOff>45247</xdr:rowOff>
    </xdr:from>
    <xdr:ext cx="684290" cy="3140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438279AD-58BC-4E3F-8954-7FB81778430C}"/>
            </a:ext>
          </a:extLst>
        </xdr:cNvPr>
        <xdr:cNvSpPr txBox="1"/>
      </xdr:nvSpPr>
      <xdr:spPr>
        <a:xfrm>
          <a:off x="3390896" y="8312947"/>
          <a:ext cx="684290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000" b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rPr>
            <a:t>Projeção</a:t>
          </a:r>
        </a:p>
      </xdr:txBody>
    </xdr:sp>
    <xdr:clientData/>
  </xdr:oneCellAnchor>
  <xdr:oneCellAnchor>
    <xdr:from>
      <xdr:col>11</xdr:col>
      <xdr:colOff>178597</xdr:colOff>
      <xdr:row>37</xdr:row>
      <xdr:rowOff>154781</xdr:rowOff>
    </xdr:from>
    <xdr:ext cx="4000500" cy="394595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4F491BB-7725-D4F0-4481-631ADC293BC9}"/>
            </a:ext>
          </a:extLst>
        </xdr:cNvPr>
        <xdr:cNvSpPr txBox="1"/>
      </xdr:nvSpPr>
      <xdr:spPr>
        <a:xfrm>
          <a:off x="3321847" y="7622381"/>
          <a:ext cx="4000500" cy="3945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accent1">
                  <a:lumMod val="50000"/>
                </a:schemeClr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O número de leads</a:t>
          </a:r>
          <a:r>
            <a:rPr lang="pt-BR" sz="1000" baseline="0">
              <a:solidFill>
                <a:schemeClr val="accent1">
                  <a:lumMod val="50000"/>
                </a:schemeClr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 por marketing pago crescerá devido a aumento mensal de investimento</a:t>
          </a:r>
          <a:endParaRPr lang="pt-BR" sz="1000">
            <a:solidFill>
              <a:schemeClr val="accent1">
                <a:lumMod val="50000"/>
              </a:schemeClr>
            </a:solidFill>
            <a:effectLst/>
            <a:latin typeface="Malgun Gothic" panose="020B0503020000020004" pitchFamily="34" charset="-127"/>
            <a:ea typeface="Malgun Gothic" panose="020B0503020000020004" pitchFamily="34" charset="-127"/>
          </a:endParaRPr>
        </a:p>
      </xdr:txBody>
    </xdr:sp>
    <xdr:clientData/>
  </xdr:oneCellAnchor>
  <xdr:oneCellAnchor>
    <xdr:from>
      <xdr:col>15</xdr:col>
      <xdr:colOff>509592</xdr:colOff>
      <xdr:row>43</xdr:row>
      <xdr:rowOff>91169</xdr:rowOff>
    </xdr:from>
    <xdr:ext cx="2538409" cy="530145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F2B6F179-53D9-4B92-93EA-71788576219F}"/>
            </a:ext>
          </a:extLst>
        </xdr:cNvPr>
        <xdr:cNvSpPr txBox="1"/>
      </xdr:nvSpPr>
      <xdr:spPr>
        <a:xfrm>
          <a:off x="7639735" y="8935812"/>
          <a:ext cx="2538409" cy="530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>
              <a:solidFill>
                <a:schemeClr val="accent1"/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Google search continuará</a:t>
          </a:r>
          <a:r>
            <a:rPr lang="pt-BR" sz="900" baseline="0">
              <a:solidFill>
                <a:schemeClr val="accent1"/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 a ser nosso canal campeão, sendo responsável por mais de 90% dos leads pagos.</a:t>
          </a:r>
          <a:endParaRPr lang="pt-BR" sz="900">
            <a:solidFill>
              <a:schemeClr val="accent1"/>
            </a:solidFill>
            <a:effectLst/>
            <a:latin typeface="Malgun Gothic" panose="020B0503020000020004" pitchFamily="34" charset="-127"/>
            <a:ea typeface="Malgun Gothic" panose="020B0503020000020004" pitchFamily="34" charset="-127"/>
          </a:endParaRPr>
        </a:p>
      </xdr:txBody>
    </xdr:sp>
    <xdr:clientData/>
  </xdr:oneCellAnchor>
  <xdr:oneCellAnchor>
    <xdr:from>
      <xdr:col>15</xdr:col>
      <xdr:colOff>376241</xdr:colOff>
      <xdr:row>49</xdr:row>
      <xdr:rowOff>90486</xdr:rowOff>
    </xdr:from>
    <xdr:ext cx="2695571" cy="530145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16797782-15D9-48E6-BB0B-6CDCFA79E665}"/>
            </a:ext>
          </a:extLst>
        </xdr:cNvPr>
        <xdr:cNvSpPr txBox="1"/>
      </xdr:nvSpPr>
      <xdr:spPr>
        <a:xfrm>
          <a:off x="7506384" y="10159772"/>
          <a:ext cx="2695571" cy="530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>
              <a:solidFill>
                <a:schemeClr val="accent2"/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Investimento</a:t>
          </a:r>
          <a:r>
            <a:rPr lang="pt-BR" sz="900" baseline="0">
              <a:solidFill>
                <a:schemeClr val="accent2"/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 em Display e Facebook está baixo, por isso há poucos leads. Necessário mais investimento para escalar esses canais.</a:t>
          </a:r>
          <a:endParaRPr lang="pt-BR" sz="900">
            <a:solidFill>
              <a:schemeClr val="accent2"/>
            </a:solidFill>
            <a:effectLst/>
            <a:latin typeface="Malgun Gothic" panose="020B0503020000020004" pitchFamily="34" charset="-127"/>
            <a:ea typeface="Malgun Gothic" panose="020B0503020000020004" pitchFamily="34" charset="-127"/>
          </a:endParaRPr>
        </a:p>
      </xdr:txBody>
    </xdr:sp>
    <xdr:clientData/>
  </xdr:oneCellAnchor>
  <xdr:twoCellAnchor>
    <xdr:from>
      <xdr:col>18</xdr:col>
      <xdr:colOff>591703</xdr:colOff>
      <xdr:row>35</xdr:row>
      <xdr:rowOff>173183</xdr:rowOff>
    </xdr:from>
    <xdr:to>
      <xdr:col>28</xdr:col>
      <xdr:colOff>837044</xdr:colOff>
      <xdr:row>58</xdr:row>
      <xdr:rowOff>28863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86B3A50A-27E5-3A10-F8EA-34F7978E1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790575</xdr:colOff>
      <xdr:row>41</xdr:row>
      <xdr:rowOff>28575</xdr:rowOff>
    </xdr:from>
    <xdr:to>
      <xdr:col>21</xdr:col>
      <xdr:colOff>816428</xdr:colOff>
      <xdr:row>54</xdr:row>
      <xdr:rowOff>176893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51B4CE39-6A0F-37C7-B9A5-686250D69764}"/>
            </a:ext>
          </a:extLst>
        </xdr:cNvPr>
        <xdr:cNvCxnSpPr/>
      </xdr:nvCxnSpPr>
      <xdr:spPr>
        <a:xfrm flipH="1" flipV="1">
          <a:off x="13635718" y="8465004"/>
          <a:ext cx="25853" cy="2801710"/>
        </a:xfrm>
        <a:prstGeom prst="line">
          <a:avLst/>
        </a:prstGeom>
        <a:ln w="22225">
          <a:solidFill>
            <a:schemeClr val="accent1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0.3002</cdr:x>
      <cdr:y>0.0798</cdr:y>
    </cdr:from>
    <cdr:to>
      <cdr:x>0.70648</cdr:x>
      <cdr:y>0.16835</cdr:y>
    </cdr:to>
    <cdr:sp macro="" textlink="">
      <cdr:nvSpPr>
        <cdr:cNvPr id="2" name="CaixaDeTexto 12">
          <a:extLst xmlns:a="http://schemas.openxmlformats.org/drawingml/2006/main">
            <a:ext uri="{FF2B5EF4-FFF2-40B4-BE49-F238E27FC236}">
              <a16:creationId xmlns:a16="http://schemas.microsoft.com/office/drawing/2014/main" id="{04F491BB-7725-D4F0-4481-631ADC293BC9}"/>
            </a:ext>
          </a:extLst>
        </cdr:cNvPr>
        <cdr:cNvSpPr txBox="1"/>
      </cdr:nvSpPr>
      <cdr:spPr>
        <a:xfrm xmlns:a="http://schemas.openxmlformats.org/drawingml/2006/main">
          <a:off x="2955925" y="355600"/>
          <a:ext cx="4000500" cy="394595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accent1">
                  <a:lumMod val="50000"/>
                </a:schemeClr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Investimento</a:t>
          </a:r>
          <a:r>
            <a:rPr lang="pt-BR" sz="1000" baseline="0">
              <a:solidFill>
                <a:schemeClr val="accent1">
                  <a:lumMod val="50000"/>
                </a:schemeClr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 em mídia é crescente, com search sendo responsável por mais de 90% dos gastos </a:t>
          </a:r>
          <a:endParaRPr lang="pt-BR" sz="1000">
            <a:solidFill>
              <a:schemeClr val="accent1">
                <a:lumMod val="50000"/>
              </a:schemeClr>
            </a:solidFill>
            <a:effectLst/>
            <a:latin typeface="Malgun Gothic" panose="020B0503020000020004" pitchFamily="34" charset="-127"/>
            <a:ea typeface="Malgun Gothic" panose="020B0503020000020004" pitchFamily="34" charset="-127"/>
          </a:endParaRPr>
        </a:p>
      </cdr:txBody>
    </cdr:sp>
  </cdr:relSizeAnchor>
  <cdr:relSizeAnchor xmlns:cdr="http://schemas.openxmlformats.org/drawingml/2006/chartDrawing">
    <cdr:from>
      <cdr:x>0.18702</cdr:x>
      <cdr:y>0.23209</cdr:y>
    </cdr:from>
    <cdr:to>
      <cdr:x>0.2581</cdr:x>
      <cdr:y>0.30257</cdr:y>
    </cdr:to>
    <cdr:sp macro="" textlink="">
      <cdr:nvSpPr>
        <cdr:cNvPr id="3" name="CaixaDeTexto 4">
          <a:extLst xmlns:a="http://schemas.openxmlformats.org/drawingml/2006/main">
            <a:ext uri="{FF2B5EF4-FFF2-40B4-BE49-F238E27FC236}">
              <a16:creationId xmlns:a16="http://schemas.microsoft.com/office/drawing/2014/main" id="{BDEA8F8B-DDCE-4D03-CD89-BF8EDD96E0F9}"/>
            </a:ext>
          </a:extLst>
        </cdr:cNvPr>
        <cdr:cNvSpPr txBox="1"/>
      </cdr:nvSpPr>
      <cdr:spPr>
        <a:xfrm xmlns:a="http://schemas.openxmlformats.org/drawingml/2006/main">
          <a:off x="1841500" y="1034253"/>
          <a:ext cx="699935" cy="3140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 b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rPr>
            <a:t>Histórico</a:t>
          </a:r>
        </a:p>
      </cdr:txBody>
    </cdr:sp>
  </cdr:relSizeAnchor>
  <cdr:relSizeAnchor xmlns:cdr="http://schemas.openxmlformats.org/drawingml/2006/chartDrawing">
    <cdr:from>
      <cdr:x>0.35292</cdr:x>
      <cdr:y>0.22942</cdr:y>
    </cdr:from>
    <cdr:to>
      <cdr:x>0.42241</cdr:x>
      <cdr:y>0.2999</cdr:y>
    </cdr:to>
    <cdr:sp macro="" textlink="">
      <cdr:nvSpPr>
        <cdr:cNvPr id="4" name="CaixaDeTexto 5">
          <a:extLst xmlns:a="http://schemas.openxmlformats.org/drawingml/2006/main">
            <a:ext uri="{FF2B5EF4-FFF2-40B4-BE49-F238E27FC236}">
              <a16:creationId xmlns:a16="http://schemas.microsoft.com/office/drawing/2014/main" id="{438279AD-58BC-4E3F-8954-7FB81778430C}"/>
            </a:ext>
          </a:extLst>
        </cdr:cNvPr>
        <cdr:cNvSpPr txBox="1"/>
      </cdr:nvSpPr>
      <cdr:spPr>
        <a:xfrm xmlns:a="http://schemas.openxmlformats.org/drawingml/2006/main">
          <a:off x="3475034" y="1022350"/>
          <a:ext cx="684290" cy="3140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 b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rPr>
            <a:t>Projeção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412750</xdr:colOff>
      <xdr:row>34</xdr:row>
      <xdr:rowOff>200025</xdr:rowOff>
    </xdr:from>
    <xdr:to>
      <xdr:col>16</xdr:col>
      <xdr:colOff>460375</xdr:colOff>
      <xdr:row>48</xdr:row>
      <xdr:rowOff>53975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E62A85E-B7C2-7B10-6B3E-3975A791A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260900</xdr:colOff>
      <xdr:row>23</xdr:row>
      <xdr:rowOff>181388</xdr:rowOff>
    </xdr:from>
    <xdr:to>
      <xdr:col>17</xdr:col>
      <xdr:colOff>207065</xdr:colOff>
      <xdr:row>46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A36B53-F0C2-2193-24C6-272A89D07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627062</xdr:colOff>
      <xdr:row>23</xdr:row>
      <xdr:rowOff>160337</xdr:rowOff>
    </xdr:from>
    <xdr:to>
      <xdr:col>28</xdr:col>
      <xdr:colOff>66675</xdr:colOff>
      <xdr:row>46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9D61745-3D67-9E84-6AD5-78A26AB47B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13</xdr:col>
      <xdr:colOff>802822</xdr:colOff>
      <xdr:row>37</xdr:row>
      <xdr:rowOff>149678</xdr:rowOff>
    </xdr:from>
    <xdr:ext cx="2858857" cy="530145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1469B3CA-77F2-479D-B3D1-081B450C2DE2}"/>
            </a:ext>
          </a:extLst>
        </xdr:cNvPr>
        <xdr:cNvSpPr txBox="1"/>
      </xdr:nvSpPr>
      <xdr:spPr>
        <a:xfrm>
          <a:off x="6027965" y="7633607"/>
          <a:ext cx="2858857" cy="530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>
              <a:solidFill>
                <a:schemeClr val="accent1"/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A evolução do número de leads do email está muito baixo. Recomendo criar estrátégias de uso de email marketing, para reverte essa situação.</a:t>
          </a:r>
          <a:endParaRPr lang="pt-BR" sz="900">
            <a:solidFill>
              <a:schemeClr val="accent1"/>
            </a:solidFill>
            <a:effectLst/>
            <a:latin typeface="Malgun Gothic" panose="020B0503020000020004" pitchFamily="34" charset="-127"/>
            <a:ea typeface="Malgun Gothic" panose="020B0503020000020004" pitchFamily="34" charset="-127"/>
          </a:endParaRPr>
        </a:p>
      </xdr:txBody>
    </xdr:sp>
    <xdr:clientData/>
  </xdr:oneCellAnchor>
  <xdr:oneCellAnchor>
    <xdr:from>
      <xdr:col>13</xdr:col>
      <xdr:colOff>805543</xdr:colOff>
      <xdr:row>31</xdr:row>
      <xdr:rowOff>179613</xdr:rowOff>
    </xdr:from>
    <xdr:ext cx="2881993" cy="389081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CDB7EA92-04A3-4F66-A783-3804787B9A9A}"/>
            </a:ext>
          </a:extLst>
        </xdr:cNvPr>
        <xdr:cNvSpPr txBox="1"/>
      </xdr:nvSpPr>
      <xdr:spPr>
        <a:xfrm>
          <a:off x="6030686" y="6438899"/>
          <a:ext cx="2881993" cy="3890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>
              <a:solidFill>
                <a:schemeClr val="accent2"/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O número de leads orgânico sessões</a:t>
          </a:r>
          <a:r>
            <a:rPr lang="pt-BR" sz="900" baseline="0">
              <a:solidFill>
                <a:schemeClr val="accent2"/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 é crescente, e corresponde a mais de 90% do número de leads</a:t>
          </a:r>
          <a:r>
            <a:rPr lang="pt-BR" sz="900">
              <a:solidFill>
                <a:schemeClr val="accent2"/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.</a:t>
          </a:r>
          <a:endParaRPr lang="pt-BR" sz="900">
            <a:solidFill>
              <a:schemeClr val="accent2"/>
            </a:solidFill>
            <a:effectLst/>
            <a:latin typeface="Malgun Gothic" panose="020B0503020000020004" pitchFamily="34" charset="-127"/>
            <a:ea typeface="Malgun Gothic" panose="020B0503020000020004" pitchFamily="34" charset="-127"/>
          </a:endParaRPr>
        </a:p>
      </xdr:txBody>
    </xdr:sp>
    <xdr:clientData/>
  </xdr:oneCellAnchor>
  <xdr:oneCellAnchor>
    <xdr:from>
      <xdr:col>10</xdr:col>
      <xdr:colOff>734785</xdr:colOff>
      <xdr:row>25</xdr:row>
      <xdr:rowOff>149679</xdr:rowOff>
    </xdr:from>
    <xdr:ext cx="4000500" cy="253531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7673B95C-1A87-420A-9BF0-86FE576B6EA1}"/>
            </a:ext>
          </a:extLst>
        </xdr:cNvPr>
        <xdr:cNvSpPr txBox="1"/>
      </xdr:nvSpPr>
      <xdr:spPr>
        <a:xfrm>
          <a:off x="2898321" y="5184322"/>
          <a:ext cx="4000500" cy="253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accent1">
                  <a:lumMod val="50000"/>
                </a:schemeClr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O número de leads</a:t>
          </a:r>
          <a:r>
            <a:rPr lang="pt-BR" sz="1000" baseline="0">
              <a:solidFill>
                <a:schemeClr val="accent1">
                  <a:lumMod val="50000"/>
                </a:schemeClr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 do orgânico crescerá ainda mais</a:t>
          </a:r>
          <a:endParaRPr lang="pt-BR" sz="1000">
            <a:solidFill>
              <a:schemeClr val="accent1">
                <a:lumMod val="50000"/>
              </a:schemeClr>
            </a:solidFill>
            <a:effectLst/>
            <a:latin typeface="Malgun Gothic" panose="020B0503020000020004" pitchFamily="34" charset="-127"/>
            <a:ea typeface="Malgun Gothic" panose="020B0503020000020004" pitchFamily="34" charset="-127"/>
          </a:endParaRPr>
        </a:p>
      </xdr:txBody>
    </xdr:sp>
    <xdr:clientData/>
  </xdr:oneCellAnchor>
  <xdr:oneCellAnchor>
    <xdr:from>
      <xdr:col>20</xdr:col>
      <xdr:colOff>312964</xdr:colOff>
      <xdr:row>25</xdr:row>
      <xdr:rowOff>136070</xdr:rowOff>
    </xdr:from>
    <xdr:ext cx="4000500" cy="253531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A612023F-77E0-40A1-AA14-5DAA3735ADD1}"/>
            </a:ext>
          </a:extLst>
        </xdr:cNvPr>
        <xdr:cNvSpPr txBox="1"/>
      </xdr:nvSpPr>
      <xdr:spPr>
        <a:xfrm>
          <a:off x="11620500" y="5170713"/>
          <a:ext cx="4000500" cy="253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accent1">
                  <a:lumMod val="50000"/>
                </a:schemeClr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O número de leads</a:t>
          </a:r>
          <a:r>
            <a:rPr lang="pt-BR" sz="1000" baseline="0">
              <a:solidFill>
                <a:schemeClr val="accent1">
                  <a:lumMod val="50000"/>
                </a:schemeClr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 por sessões está crescente</a:t>
          </a:r>
          <a:endParaRPr lang="pt-BR" sz="1000">
            <a:solidFill>
              <a:schemeClr val="accent1">
                <a:lumMod val="50000"/>
              </a:schemeClr>
            </a:solidFill>
            <a:effectLst/>
            <a:latin typeface="Malgun Gothic" panose="020B0503020000020004" pitchFamily="34" charset="-127"/>
            <a:ea typeface="Malgun Gothic" panose="020B0503020000020004" pitchFamily="34" charset="-127"/>
          </a:endParaRPr>
        </a:p>
      </xdr:txBody>
    </xdr:sp>
    <xdr:clientData/>
  </xdr:one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0.10865</cdr:x>
      <cdr:y>0.23163</cdr:y>
    </cdr:from>
    <cdr:to>
      <cdr:x>0.18887</cdr:x>
      <cdr:y>0.30529</cdr:y>
    </cdr:to>
    <cdr:sp macro="" textlink="">
      <cdr:nvSpPr>
        <cdr:cNvPr id="2" name="CaixaDeTexto 4">
          <a:extLst xmlns:a="http://schemas.openxmlformats.org/drawingml/2006/main">
            <a:ext uri="{FF2B5EF4-FFF2-40B4-BE49-F238E27FC236}">
              <a16:creationId xmlns:a16="http://schemas.microsoft.com/office/drawing/2014/main" id="{BDEA8F8B-DDCE-4D03-CD89-BF8EDD96E0F9}"/>
            </a:ext>
          </a:extLst>
        </cdr:cNvPr>
        <cdr:cNvSpPr txBox="1"/>
      </cdr:nvSpPr>
      <cdr:spPr>
        <a:xfrm xmlns:a="http://schemas.openxmlformats.org/drawingml/2006/main">
          <a:off x="948083" y="987595"/>
          <a:ext cx="699935" cy="3140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 b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rPr>
            <a:t>Histórico</a:t>
          </a:r>
        </a:p>
      </cdr:txBody>
    </cdr:sp>
  </cdr:relSizeAnchor>
  <cdr:relSizeAnchor xmlns:cdr="http://schemas.openxmlformats.org/drawingml/2006/chartDrawing">
    <cdr:from>
      <cdr:x>0.31153</cdr:x>
      <cdr:y>0.2256</cdr:y>
    </cdr:from>
    <cdr:to>
      <cdr:x>0.38995</cdr:x>
      <cdr:y>0.29926</cdr:y>
    </cdr:to>
    <cdr:sp macro="" textlink="">
      <cdr:nvSpPr>
        <cdr:cNvPr id="3" name="CaixaDeTexto 5">
          <a:extLst xmlns:a="http://schemas.openxmlformats.org/drawingml/2006/main">
            <a:ext uri="{FF2B5EF4-FFF2-40B4-BE49-F238E27FC236}">
              <a16:creationId xmlns:a16="http://schemas.microsoft.com/office/drawing/2014/main" id="{438279AD-58BC-4E3F-8954-7FB81778430C}"/>
            </a:ext>
          </a:extLst>
        </cdr:cNvPr>
        <cdr:cNvSpPr txBox="1"/>
      </cdr:nvSpPr>
      <cdr:spPr>
        <a:xfrm xmlns:a="http://schemas.openxmlformats.org/drawingml/2006/main">
          <a:off x="2718299" y="961888"/>
          <a:ext cx="684290" cy="3140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 b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rPr>
            <a:t>Projeção</a:t>
          </a:r>
        </a:p>
      </cdr:txBody>
    </cdr:sp>
  </cdr:relSizeAnchor>
  <cdr:relSizeAnchor xmlns:cdr="http://schemas.openxmlformats.org/drawingml/2006/chartDrawing">
    <cdr:from>
      <cdr:x>0.25486</cdr:x>
      <cdr:y>0.19381</cdr:y>
    </cdr:from>
    <cdr:to>
      <cdr:x>0.25961</cdr:x>
      <cdr:y>0.8543</cdr:y>
    </cdr:to>
    <cdr:cxnSp macro="">
      <cdr:nvCxnSpPr>
        <cdr:cNvPr id="5" name="Conector reto 4">
          <a:extLst xmlns:a="http://schemas.openxmlformats.org/drawingml/2006/main">
            <a:ext uri="{FF2B5EF4-FFF2-40B4-BE49-F238E27FC236}">
              <a16:creationId xmlns:a16="http://schemas.microsoft.com/office/drawing/2014/main" id="{D250DAC0-2CC6-A491-8CFE-AA10A789E8D3}"/>
            </a:ext>
          </a:extLst>
        </cdr:cNvPr>
        <cdr:cNvCxnSpPr/>
      </cdr:nvCxnSpPr>
      <cdr:spPr>
        <a:xfrm xmlns:a="http://schemas.openxmlformats.org/drawingml/2006/main" flipV="1">
          <a:off x="2223883" y="826329"/>
          <a:ext cx="41413" cy="2816087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chemeClr val="accent1">
              <a:lumMod val="50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0.25312</cdr:x>
      <cdr:y>0.22628</cdr:y>
    </cdr:from>
    <cdr:to>
      <cdr:x>0.25775</cdr:x>
      <cdr:y>0.83918</cdr:y>
    </cdr:to>
    <cdr:cxnSp macro="">
      <cdr:nvCxnSpPr>
        <cdr:cNvPr id="4" name="Conector reto 3">
          <a:extLst xmlns:a="http://schemas.openxmlformats.org/drawingml/2006/main">
            <a:ext uri="{FF2B5EF4-FFF2-40B4-BE49-F238E27FC236}">
              <a16:creationId xmlns:a16="http://schemas.microsoft.com/office/drawing/2014/main" id="{4D6B3FD8-6EC9-CD62-85C5-8AF7FA6E17CB}"/>
            </a:ext>
          </a:extLst>
        </cdr:cNvPr>
        <cdr:cNvCxnSpPr/>
      </cdr:nvCxnSpPr>
      <cdr:spPr>
        <a:xfrm xmlns:a="http://schemas.openxmlformats.org/drawingml/2006/main" flipH="1" flipV="1">
          <a:off x="2186104" y="1010246"/>
          <a:ext cx="39955" cy="2736354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chemeClr val="accent1">
              <a:lumMod val="50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0.1055</cdr:x>
      <cdr:y>0.22656</cdr:y>
    </cdr:from>
    <cdr:to>
      <cdr:x>0.18666</cdr:x>
      <cdr:y>0.29987</cdr:y>
    </cdr:to>
    <cdr:sp macro="" textlink="">
      <cdr:nvSpPr>
        <cdr:cNvPr id="5" name="CaixaDeTexto 4">
          <a:extLst xmlns:a="http://schemas.openxmlformats.org/drawingml/2006/main">
            <a:ext uri="{FF2B5EF4-FFF2-40B4-BE49-F238E27FC236}">
              <a16:creationId xmlns:a16="http://schemas.microsoft.com/office/drawing/2014/main" id="{12E9A363-A02D-C255-0151-E3E8B44ABF7F}"/>
            </a:ext>
          </a:extLst>
        </cdr:cNvPr>
        <cdr:cNvSpPr txBox="1"/>
      </cdr:nvSpPr>
      <cdr:spPr>
        <a:xfrm xmlns:a="http://schemas.openxmlformats.org/drawingml/2006/main">
          <a:off x="908050" y="1018370"/>
          <a:ext cx="698606" cy="329554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 b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rPr>
            <a:t>Histórico</a:t>
          </a:r>
        </a:p>
      </cdr:txBody>
    </cdr:sp>
  </cdr:relSizeAnchor>
  <cdr:relSizeAnchor xmlns:cdr="http://schemas.openxmlformats.org/drawingml/2006/chartDrawing">
    <cdr:from>
      <cdr:x>0.31077</cdr:x>
      <cdr:y>0.22055</cdr:y>
    </cdr:from>
    <cdr:to>
      <cdr:x>0.39012</cdr:x>
      <cdr:y>0.29387</cdr:y>
    </cdr:to>
    <cdr:sp macro="" textlink="">
      <cdr:nvSpPr>
        <cdr:cNvPr id="6" name="CaixaDeTexto 5">
          <a:extLst xmlns:a="http://schemas.openxmlformats.org/drawingml/2006/main">
            <a:ext uri="{FF2B5EF4-FFF2-40B4-BE49-F238E27FC236}">
              <a16:creationId xmlns:a16="http://schemas.microsoft.com/office/drawing/2014/main" id="{1E34114D-78E4-4589-FE50-1CB9FEC9E7FB}"/>
            </a:ext>
          </a:extLst>
        </cdr:cNvPr>
        <cdr:cNvSpPr txBox="1"/>
      </cdr:nvSpPr>
      <cdr:spPr>
        <a:xfrm xmlns:a="http://schemas.openxmlformats.org/drawingml/2006/main">
          <a:off x="2674906" y="991394"/>
          <a:ext cx="682990" cy="329555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 b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rPr>
            <a:t>Projeção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83343</xdr:colOff>
      <xdr:row>34</xdr:row>
      <xdr:rowOff>182166</xdr:rowOff>
    </xdr:from>
    <xdr:to>
      <xdr:col>17</xdr:col>
      <xdr:colOff>785812</xdr:colOff>
      <xdr:row>56</xdr:row>
      <xdr:rowOff>190500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F143106-FDAA-9C4D-E2A7-9569ECD02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175190</xdr:colOff>
      <xdr:row>34</xdr:row>
      <xdr:rowOff>192653</xdr:rowOff>
    </xdr:from>
    <xdr:to>
      <xdr:col>28</xdr:col>
      <xdr:colOff>95250</xdr:colOff>
      <xdr:row>57</xdr:row>
      <xdr:rowOff>11905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2C11AE1-46D9-4069-CCE4-E8EF70545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0.7564</cdr:x>
      <cdr:y>0.28129</cdr:y>
    </cdr:from>
    <cdr:to>
      <cdr:x>1</cdr:x>
      <cdr:y>0.39964</cdr:y>
    </cdr:to>
    <cdr:sp macro="" textlink="">
      <cdr:nvSpPr>
        <cdr:cNvPr id="3" name="CaixaDeTexto 12">
          <a:extLst xmlns:a="http://schemas.openxmlformats.org/drawingml/2006/main">
            <a:ext uri="{FF2B5EF4-FFF2-40B4-BE49-F238E27FC236}">
              <a16:creationId xmlns:a16="http://schemas.microsoft.com/office/drawing/2014/main" id="{4B330321-4530-6898-C08A-B6934CE9F6D7}"/>
            </a:ext>
          </a:extLst>
        </cdr:cNvPr>
        <cdr:cNvSpPr txBox="1"/>
      </cdr:nvSpPr>
      <cdr:spPr>
        <a:xfrm xmlns:a="http://schemas.openxmlformats.org/drawingml/2006/main">
          <a:off x="6679407" y="1246717"/>
          <a:ext cx="2151062" cy="52456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800">
              <a:solidFill>
                <a:schemeClr val="accent1"/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O número de vendas do orgânico é responsável por mais de 90% do resultado</a:t>
          </a:r>
          <a:r>
            <a:rPr lang="pt-BR" sz="800" baseline="0">
              <a:solidFill>
                <a:schemeClr val="accent1"/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 de vendas, </a:t>
          </a:r>
          <a:endParaRPr lang="pt-BR" sz="800">
            <a:solidFill>
              <a:schemeClr val="accent1"/>
            </a:solidFill>
            <a:effectLst/>
            <a:latin typeface="Malgun Gothic" panose="020B0503020000020004" pitchFamily="34" charset="-127"/>
            <a:ea typeface="Malgun Gothic" panose="020B0503020000020004" pitchFamily="34" charset="-127"/>
          </a:endParaRPr>
        </a:p>
      </cdr:txBody>
    </cdr:sp>
  </cdr:relSizeAnchor>
  <cdr:relSizeAnchor xmlns:cdr="http://schemas.openxmlformats.org/drawingml/2006/chartDrawing">
    <cdr:from>
      <cdr:x>0.63655</cdr:x>
      <cdr:y>0.51768</cdr:y>
    </cdr:from>
    <cdr:to>
      <cdr:x>0.98043</cdr:x>
      <cdr:y>0.63604</cdr:y>
    </cdr:to>
    <cdr:sp macro="" textlink="">
      <cdr:nvSpPr>
        <cdr:cNvPr id="4" name="CaixaDeTexto 12">
          <a:extLst xmlns:a="http://schemas.openxmlformats.org/drawingml/2006/main">
            <a:ext uri="{FF2B5EF4-FFF2-40B4-BE49-F238E27FC236}">
              <a16:creationId xmlns:a16="http://schemas.microsoft.com/office/drawing/2014/main" id="{1BD714AA-8FB6-E70D-B4CC-459FFADC3A9B}"/>
            </a:ext>
          </a:extLst>
        </cdr:cNvPr>
        <cdr:cNvSpPr txBox="1"/>
      </cdr:nvSpPr>
      <cdr:spPr>
        <a:xfrm xmlns:a="http://schemas.openxmlformats.org/drawingml/2006/main">
          <a:off x="5621074" y="2294466"/>
          <a:ext cx="3036621" cy="52456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800">
              <a:solidFill>
                <a:schemeClr val="accent1">
                  <a:lumMod val="75000"/>
                </a:schemeClr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O número de vendas originadas do</a:t>
          </a:r>
          <a:r>
            <a:rPr lang="pt-BR" sz="800" baseline="0">
              <a:solidFill>
                <a:schemeClr val="accent1">
                  <a:lumMod val="75000"/>
                </a:schemeClr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 canal Google Search, precisará de investimento em SEO, para que haja mais leads orgânicos e por consequência maior número de vendas.</a:t>
          </a:r>
          <a:endParaRPr lang="pt-BR" sz="800">
            <a:solidFill>
              <a:schemeClr val="accent1">
                <a:lumMod val="75000"/>
              </a:schemeClr>
            </a:solidFill>
            <a:effectLst/>
            <a:latin typeface="Malgun Gothic" panose="020B0503020000020004" pitchFamily="34" charset="-127"/>
            <a:ea typeface="Malgun Gothic" panose="020B0503020000020004" pitchFamily="34" charset="-127"/>
          </a:endParaRPr>
        </a:p>
      </cdr:txBody>
    </cdr:sp>
  </cdr:relSizeAnchor>
  <cdr:relSizeAnchor xmlns:cdr="http://schemas.openxmlformats.org/drawingml/2006/chartDrawing">
    <cdr:from>
      <cdr:x>0.27297</cdr:x>
      <cdr:y>0.23672</cdr:y>
    </cdr:from>
    <cdr:to>
      <cdr:x>0.27297</cdr:x>
      <cdr:y>0.84788</cdr:y>
    </cdr:to>
    <cdr:cxnSp macro="">
      <cdr:nvCxnSpPr>
        <cdr:cNvPr id="7" name="Conector reto 6">
          <a:extLst xmlns:a="http://schemas.openxmlformats.org/drawingml/2006/main">
            <a:ext uri="{FF2B5EF4-FFF2-40B4-BE49-F238E27FC236}">
              <a16:creationId xmlns:a16="http://schemas.microsoft.com/office/drawing/2014/main" id="{C8840846-04B5-BEF2-6454-077DB9D65082}"/>
            </a:ext>
          </a:extLst>
        </cdr:cNvPr>
        <cdr:cNvCxnSpPr/>
      </cdr:nvCxnSpPr>
      <cdr:spPr>
        <a:xfrm xmlns:a="http://schemas.openxmlformats.org/drawingml/2006/main" flipV="1">
          <a:off x="2405063" y="1056084"/>
          <a:ext cx="0" cy="2726531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chemeClr val="accent1">
              <a:lumMod val="50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0.13009</cdr:x>
      <cdr:y>0.25697</cdr:y>
    </cdr:from>
    <cdr:to>
      <cdr:x>0.21002</cdr:x>
      <cdr:y>0.32885</cdr:y>
    </cdr:to>
    <cdr:sp macro="" textlink="">
      <cdr:nvSpPr>
        <cdr:cNvPr id="8" name="CaixaDeTexto 4">
          <a:extLst xmlns:a="http://schemas.openxmlformats.org/drawingml/2006/main">
            <a:ext uri="{FF2B5EF4-FFF2-40B4-BE49-F238E27FC236}">
              <a16:creationId xmlns:a16="http://schemas.microsoft.com/office/drawing/2014/main" id="{236B5E07-0A3D-1559-58A5-14655E2EF165}"/>
            </a:ext>
          </a:extLst>
        </cdr:cNvPr>
        <cdr:cNvSpPr txBox="1"/>
      </cdr:nvSpPr>
      <cdr:spPr>
        <a:xfrm xmlns:a="http://schemas.openxmlformats.org/drawingml/2006/main">
          <a:off x="1146175" y="1146423"/>
          <a:ext cx="704191" cy="32067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 b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rPr>
            <a:t>Histórico</a:t>
          </a:r>
        </a:p>
      </cdr:txBody>
    </cdr:sp>
  </cdr:relSizeAnchor>
  <cdr:relSizeAnchor xmlns:cdr="http://schemas.openxmlformats.org/drawingml/2006/chartDrawing">
    <cdr:from>
      <cdr:x>0.31662</cdr:x>
      <cdr:y>0.25425</cdr:y>
    </cdr:from>
    <cdr:to>
      <cdr:x>0.39476</cdr:x>
      <cdr:y>0.32613</cdr:y>
    </cdr:to>
    <cdr:sp macro="" textlink="">
      <cdr:nvSpPr>
        <cdr:cNvPr id="9" name="CaixaDeTexto 5">
          <a:extLst xmlns:a="http://schemas.openxmlformats.org/drawingml/2006/main">
            <a:ext uri="{FF2B5EF4-FFF2-40B4-BE49-F238E27FC236}">
              <a16:creationId xmlns:a16="http://schemas.microsoft.com/office/drawing/2014/main" id="{223AD0C2-8712-41E3-3028-17708152036A}"/>
            </a:ext>
          </a:extLst>
        </cdr:cNvPr>
        <cdr:cNvSpPr txBox="1"/>
      </cdr:nvSpPr>
      <cdr:spPr>
        <a:xfrm xmlns:a="http://schemas.openxmlformats.org/drawingml/2006/main">
          <a:off x="2789642" y="1134269"/>
          <a:ext cx="688450" cy="32067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 b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rPr>
            <a:t>Projeção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0.25627</cdr:x>
      <cdr:y>0.08327</cdr:y>
    </cdr:from>
    <cdr:to>
      <cdr:x>0.74928</cdr:x>
      <cdr:y>0.14035</cdr:y>
    </cdr:to>
    <cdr:sp macro="" textlink="">
      <cdr:nvSpPr>
        <cdr:cNvPr id="2" name="CaixaDeTexto 12">
          <a:extLst xmlns:a="http://schemas.openxmlformats.org/drawingml/2006/main">
            <a:ext uri="{FF2B5EF4-FFF2-40B4-BE49-F238E27FC236}">
              <a16:creationId xmlns:a16="http://schemas.microsoft.com/office/drawing/2014/main" id="{327FA76C-C9BB-CC0B-13E6-4E98D3EB1D56}"/>
            </a:ext>
          </a:extLst>
        </cdr:cNvPr>
        <cdr:cNvSpPr txBox="1"/>
      </cdr:nvSpPr>
      <cdr:spPr>
        <a:xfrm xmlns:a="http://schemas.openxmlformats.org/drawingml/2006/main">
          <a:off x="2074862" y="372269"/>
          <a:ext cx="3991510" cy="25519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accent1">
                  <a:lumMod val="50000"/>
                </a:schemeClr>
              </a:solidFill>
              <a:effectLst/>
              <a:latin typeface="Malgun Gothic" panose="020B0503020000020004" pitchFamily="34" charset="-127"/>
              <a:ea typeface="Malgun Gothic" panose="020B0503020000020004" pitchFamily="34" charset="-127"/>
              <a:cs typeface="+mn-cs"/>
            </a:rPr>
            <a:t>O número de vendas do orgânico está em uma crescente.</a:t>
          </a:r>
          <a:endParaRPr lang="pt-BR" sz="1000">
            <a:solidFill>
              <a:schemeClr val="accent1">
                <a:lumMod val="50000"/>
              </a:schemeClr>
            </a:solidFill>
            <a:effectLst/>
            <a:latin typeface="Malgun Gothic" panose="020B0503020000020004" pitchFamily="34" charset="-127"/>
            <a:ea typeface="Malgun Gothic" panose="020B0503020000020004" pitchFamily="34" charset="-127"/>
          </a:endParaRPr>
        </a:p>
      </cdr:txBody>
    </cdr:sp>
  </cdr:relSizeAnchor>
  <cdr:relSizeAnchor xmlns:cdr="http://schemas.openxmlformats.org/drawingml/2006/chartDrawing">
    <cdr:from>
      <cdr:x>0.14981</cdr:x>
      <cdr:y>0.30704</cdr:y>
    </cdr:from>
    <cdr:to>
      <cdr:x>0.23818</cdr:x>
      <cdr:y>0.37877</cdr:y>
    </cdr:to>
    <cdr:sp macro="" textlink="">
      <cdr:nvSpPr>
        <cdr:cNvPr id="3" name="CaixaDeTexto 4">
          <a:extLst xmlns:a="http://schemas.openxmlformats.org/drawingml/2006/main">
            <a:ext uri="{FF2B5EF4-FFF2-40B4-BE49-F238E27FC236}">
              <a16:creationId xmlns:a16="http://schemas.microsoft.com/office/drawing/2014/main" id="{236B5E07-0A3D-1559-58A5-14655E2EF165}"/>
            </a:ext>
          </a:extLst>
        </cdr:cNvPr>
        <cdr:cNvSpPr txBox="1"/>
      </cdr:nvSpPr>
      <cdr:spPr>
        <a:xfrm xmlns:a="http://schemas.openxmlformats.org/drawingml/2006/main">
          <a:off x="1193800" y="1372642"/>
          <a:ext cx="704191" cy="32067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 b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rPr>
            <a:t>Histórico</a:t>
          </a:r>
        </a:p>
      </cdr:txBody>
    </cdr:sp>
  </cdr:relSizeAnchor>
  <cdr:relSizeAnchor xmlns:cdr="http://schemas.openxmlformats.org/drawingml/2006/chartDrawing">
    <cdr:from>
      <cdr:x>0.35605</cdr:x>
      <cdr:y>0.30432</cdr:y>
    </cdr:from>
    <cdr:to>
      <cdr:x>0.44245</cdr:x>
      <cdr:y>0.37605</cdr:y>
    </cdr:to>
    <cdr:sp macro="" textlink="">
      <cdr:nvSpPr>
        <cdr:cNvPr id="4" name="CaixaDeTexto 5">
          <a:extLst xmlns:a="http://schemas.openxmlformats.org/drawingml/2006/main">
            <a:ext uri="{FF2B5EF4-FFF2-40B4-BE49-F238E27FC236}">
              <a16:creationId xmlns:a16="http://schemas.microsoft.com/office/drawing/2014/main" id="{223AD0C2-8712-41E3-3028-17708152036A}"/>
            </a:ext>
          </a:extLst>
        </cdr:cNvPr>
        <cdr:cNvSpPr txBox="1"/>
      </cdr:nvSpPr>
      <cdr:spPr>
        <a:xfrm xmlns:a="http://schemas.openxmlformats.org/drawingml/2006/main">
          <a:off x="2837267" y="1360488"/>
          <a:ext cx="688450" cy="32067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 b="0">
              <a:solidFill>
                <a:schemeClr val="accent1">
                  <a:lumMod val="50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rPr>
            <a:t>Projeção</a:t>
          </a:r>
        </a:p>
      </cdr:txBody>
    </cdr:sp>
  </cdr:relSizeAnchor>
  <cdr:relSizeAnchor xmlns:cdr="http://schemas.openxmlformats.org/drawingml/2006/chartDrawing">
    <cdr:from>
      <cdr:x>0.27983</cdr:x>
      <cdr:y>0.28359</cdr:y>
    </cdr:from>
    <cdr:to>
      <cdr:x>0.28132</cdr:x>
      <cdr:y>0.86684</cdr:y>
    </cdr:to>
    <cdr:cxnSp macro="">
      <cdr:nvCxnSpPr>
        <cdr:cNvPr id="6" name="Conector reto 5">
          <a:extLst xmlns:a="http://schemas.openxmlformats.org/drawingml/2006/main">
            <a:ext uri="{FF2B5EF4-FFF2-40B4-BE49-F238E27FC236}">
              <a16:creationId xmlns:a16="http://schemas.microsoft.com/office/drawing/2014/main" id="{97213E57-8F58-3D9B-F9F2-070E01B86788}"/>
            </a:ext>
          </a:extLst>
        </cdr:cNvPr>
        <cdr:cNvCxnSpPr/>
      </cdr:nvCxnSpPr>
      <cdr:spPr>
        <a:xfrm xmlns:a="http://schemas.openxmlformats.org/drawingml/2006/main" flipH="1" flipV="1">
          <a:off x="2229873" y="1267847"/>
          <a:ext cx="11906" cy="2607469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chemeClr val="accent1">
              <a:lumMod val="50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1</xdr:row>
      <xdr:rowOff>190499</xdr:rowOff>
    </xdr:from>
    <xdr:to>
      <xdr:col>8</xdr:col>
      <xdr:colOff>171450</xdr:colOff>
      <xdr:row>15</xdr:row>
      <xdr:rowOff>90486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4950DE-D614-4158-8D32-9CC9DD6BB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738187</xdr:colOff>
      <xdr:row>2</xdr:row>
      <xdr:rowOff>147637</xdr:rowOff>
    </xdr:from>
    <xdr:to>
      <xdr:col>6</xdr:col>
      <xdr:colOff>1281112</xdr:colOff>
      <xdr:row>16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E7ECF6-F118-4F90-A6AF-2B86CD0FE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aradett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A312-BADD-4242-BA59-46E8BEB08804}">
  <dimension ref="B3:C20"/>
  <sheetViews>
    <sheetView showGridLines="0" topLeftCell="A4" workbookViewId="0">
      <selection activeCell="B3" sqref="B3"/>
    </sheetView>
  </sheetViews>
  <sheetFormatPr defaultColWidth="11" defaultRowHeight="15.75" x14ac:dyDescent="0.25"/>
  <cols>
    <col min="2" max="2" width="17.5" customWidth="1"/>
  </cols>
  <sheetData>
    <row r="3" spans="2:3" ht="23.25" x14ac:dyDescent="0.35">
      <c r="B3" s="79" t="s">
        <v>84</v>
      </c>
    </row>
    <row r="6" spans="2:3" x14ac:dyDescent="0.25">
      <c r="B6" s="4" t="s">
        <v>85</v>
      </c>
      <c r="C6" t="s">
        <v>86</v>
      </c>
    </row>
    <row r="7" spans="2:3" x14ac:dyDescent="0.25">
      <c r="B7" s="4" t="s">
        <v>91</v>
      </c>
      <c r="C7" s="38" t="s">
        <v>92</v>
      </c>
    </row>
    <row r="8" spans="2:3" x14ac:dyDescent="0.25">
      <c r="B8" s="4" t="s">
        <v>87</v>
      </c>
      <c r="C8" s="36">
        <v>44740</v>
      </c>
    </row>
    <row r="10" spans="2:3" x14ac:dyDescent="0.25">
      <c r="B10" t="s">
        <v>88</v>
      </c>
    </row>
    <row r="12" spans="2:3" x14ac:dyDescent="0.25">
      <c r="B12" s="37" t="s">
        <v>89</v>
      </c>
    </row>
    <row r="13" spans="2:3" x14ac:dyDescent="0.25">
      <c r="B13" s="37" t="s">
        <v>90</v>
      </c>
    </row>
    <row r="15" spans="2:3" x14ac:dyDescent="0.25">
      <c r="B15" t="s">
        <v>93</v>
      </c>
    </row>
    <row r="17" spans="2:2" x14ac:dyDescent="0.25">
      <c r="B17" s="38" t="s">
        <v>94</v>
      </c>
    </row>
    <row r="18" spans="2:2" x14ac:dyDescent="0.25">
      <c r="B18" s="38" t="s">
        <v>95</v>
      </c>
    </row>
    <row r="19" spans="2:2" x14ac:dyDescent="0.25">
      <c r="B19" s="38" t="s">
        <v>96</v>
      </c>
    </row>
    <row r="20" spans="2:2" x14ac:dyDescent="0.25">
      <c r="B20" s="40" t="s">
        <v>98</v>
      </c>
    </row>
  </sheetData>
  <hyperlinks>
    <hyperlink ref="C7" r:id="rId1" xr:uid="{E9102DBB-844B-4B74-AC90-C239678F738E}"/>
    <hyperlink ref="B17" location="Suposições!A1" display="Suposições" xr:uid="{54EAE921-7CA6-4E32-8C90-189AE4A7A917}"/>
    <hyperlink ref="B18" location="'Leads- Trafego pago'!A1" display="Leads - Trafego Pago" xr:uid="{E4B90A79-8B96-497D-AF78-D9EA1157F7B4}"/>
    <hyperlink ref="B19" location="'Leads- Trafego organico'!A1" display="Leads - Trafego Orgânico" xr:uid="{E0EFEA20-570B-4661-9D4B-CCC64D33365F}"/>
    <hyperlink ref="B20" location="'Desempenho de V'!A1" display="Modelo previsão" xr:uid="{1C8ECD78-7DA6-426F-8E1B-BB33E2EE768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289A-6C92-5844-9AD0-09C3BFE28AAC}">
  <dimension ref="B2:C46"/>
  <sheetViews>
    <sheetView showGridLines="0" topLeftCell="A31" workbookViewId="0">
      <selection activeCell="C35" sqref="C35"/>
    </sheetView>
  </sheetViews>
  <sheetFormatPr defaultColWidth="11" defaultRowHeight="15.75" x14ac:dyDescent="0.25"/>
  <cols>
    <col min="1" max="1" width="4.125" customWidth="1"/>
    <col min="2" max="2" width="27.75" customWidth="1"/>
    <col min="3" max="3" width="12.375" customWidth="1"/>
  </cols>
  <sheetData>
    <row r="2" spans="2:3" x14ac:dyDescent="0.25">
      <c r="B2" s="38" t="s">
        <v>97</v>
      </c>
    </row>
    <row r="4" spans="2:3" ht="30" x14ac:dyDescent="0.45">
      <c r="B4" s="41" t="s">
        <v>67</v>
      </c>
    </row>
    <row r="6" spans="2:3" x14ac:dyDescent="0.25">
      <c r="B6" s="76" t="s">
        <v>73</v>
      </c>
      <c r="C6" s="78"/>
    </row>
    <row r="7" spans="2:3" x14ac:dyDescent="0.25">
      <c r="B7" t="s">
        <v>68</v>
      </c>
    </row>
    <row r="9" spans="2:3" x14ac:dyDescent="0.25">
      <c r="B9" s="19" t="s">
        <v>48</v>
      </c>
      <c r="C9" s="49">
        <v>91.382000000000005</v>
      </c>
    </row>
    <row r="10" spans="2:3" x14ac:dyDescent="0.25">
      <c r="B10" s="19" t="s">
        <v>70</v>
      </c>
      <c r="C10" s="49">
        <v>-26.835999999999999</v>
      </c>
    </row>
    <row r="12" spans="2:3" x14ac:dyDescent="0.25">
      <c r="B12" s="1" t="s">
        <v>100</v>
      </c>
      <c r="C12" s="47">
        <v>0.22</v>
      </c>
    </row>
    <row r="15" spans="2:3" x14ac:dyDescent="0.25">
      <c r="B15" s="76" t="s">
        <v>34</v>
      </c>
      <c r="C15" s="78"/>
    </row>
    <row r="16" spans="2:3" x14ac:dyDescent="0.25">
      <c r="B16" t="s">
        <v>69</v>
      </c>
    </row>
    <row r="18" spans="2:3" x14ac:dyDescent="0.25">
      <c r="B18" s="19" t="s">
        <v>48</v>
      </c>
      <c r="C18" s="49">
        <v>6.6544999999999996</v>
      </c>
    </row>
    <row r="19" spans="2:3" x14ac:dyDescent="0.25">
      <c r="B19" s="19" t="s">
        <v>70</v>
      </c>
      <c r="C19" s="42">
        <v>4.8</v>
      </c>
    </row>
    <row r="21" spans="2:3" x14ac:dyDescent="0.25">
      <c r="B21" s="1" t="s">
        <v>100</v>
      </c>
      <c r="C21" s="43">
        <v>0.32</v>
      </c>
    </row>
    <row r="24" spans="2:3" x14ac:dyDescent="0.25">
      <c r="B24" s="76" t="s">
        <v>101</v>
      </c>
      <c r="C24" s="78"/>
    </row>
    <row r="26" spans="2:3" x14ac:dyDescent="0.25">
      <c r="B26" s="1" t="s">
        <v>102</v>
      </c>
      <c r="C26" s="48">
        <v>1.05</v>
      </c>
    </row>
    <row r="27" spans="2:3" x14ac:dyDescent="0.25">
      <c r="B27" s="1" t="s">
        <v>103</v>
      </c>
      <c r="C27" s="1">
        <v>1.01</v>
      </c>
    </row>
    <row r="30" spans="2:3" x14ac:dyDescent="0.25">
      <c r="B30" s="76" t="s">
        <v>104</v>
      </c>
      <c r="C30" s="78"/>
    </row>
    <row r="32" spans="2:3" x14ac:dyDescent="0.25">
      <c r="B32" s="1" t="s">
        <v>102</v>
      </c>
      <c r="C32" s="48">
        <v>1.05</v>
      </c>
    </row>
    <row r="33" spans="2:3" x14ac:dyDescent="0.25">
      <c r="B33" s="1" t="s">
        <v>103</v>
      </c>
      <c r="C33" s="1">
        <v>1.01</v>
      </c>
    </row>
    <row r="35" spans="2:3" x14ac:dyDescent="0.25">
      <c r="B35" s="76" t="s">
        <v>99</v>
      </c>
      <c r="C35" s="78"/>
    </row>
    <row r="36" spans="2:3" x14ac:dyDescent="0.25">
      <c r="B36" t="s">
        <v>74</v>
      </c>
    </row>
    <row r="38" spans="2:3" x14ac:dyDescent="0.25">
      <c r="B38" s="19" t="s">
        <v>48</v>
      </c>
      <c r="C38" s="49">
        <v>5.1000000000000004E-3</v>
      </c>
    </row>
    <row r="39" spans="2:3" x14ac:dyDescent="0.25">
      <c r="B39" s="19" t="s">
        <v>70</v>
      </c>
      <c r="C39" s="49">
        <v>2.9580000000000002</v>
      </c>
    </row>
    <row r="41" spans="2:3" x14ac:dyDescent="0.25">
      <c r="B41" s="1" t="s">
        <v>102</v>
      </c>
      <c r="C41" s="48">
        <v>1.07</v>
      </c>
    </row>
    <row r="42" spans="2:3" x14ac:dyDescent="0.25">
      <c r="B42" s="1" t="s">
        <v>38</v>
      </c>
      <c r="C42" s="44">
        <v>0.13</v>
      </c>
    </row>
    <row r="44" spans="2:3" x14ac:dyDescent="0.25">
      <c r="B44" s="46" t="s">
        <v>81</v>
      </c>
      <c r="C44" s="45"/>
    </row>
    <row r="45" spans="2:3" x14ac:dyDescent="0.25">
      <c r="B45" t="s">
        <v>82</v>
      </c>
    </row>
    <row r="46" spans="2:3" x14ac:dyDescent="0.25">
      <c r="B46" t="s">
        <v>83</v>
      </c>
    </row>
  </sheetData>
  <hyperlinks>
    <hyperlink ref="B2" location="Capa!A1" display="Voltar para o Menu" xr:uid="{A84A173F-6A1B-4204-85A2-3D1BA5C1969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E2D8-A1FF-374F-A5E9-10A305522DA8}">
  <dimension ref="B2:Z34"/>
  <sheetViews>
    <sheetView showGridLines="0" topLeftCell="N37" zoomScale="70" zoomScaleNormal="70" workbookViewId="0">
      <selection activeCell="T35" sqref="T35"/>
    </sheetView>
  </sheetViews>
  <sheetFormatPr defaultColWidth="11" defaultRowHeight="15.75" outlineLevelCol="1" x14ac:dyDescent="0.25"/>
  <cols>
    <col min="1" max="1" width="3.375" customWidth="1"/>
    <col min="2" max="2" width="24.5" customWidth="1"/>
    <col min="3" max="3" width="11.125" hidden="1" customWidth="1" outlineLevel="1"/>
    <col min="4" max="6" width="11.875" hidden="1" customWidth="1" outlineLevel="1"/>
    <col min="7" max="7" width="13.375" hidden="1" customWidth="1" outlineLevel="1"/>
    <col min="8" max="9" width="11.875" hidden="1" customWidth="1" outlineLevel="1"/>
    <col min="10" max="10" width="13.375" hidden="1" customWidth="1" outlineLevel="1"/>
    <col min="11" max="11" width="13.375" bestFit="1" customWidth="1" collapsed="1"/>
    <col min="12" max="14" width="13.375" bestFit="1" customWidth="1"/>
    <col min="15" max="19" width="12.125" bestFit="1" customWidth="1"/>
    <col min="20" max="26" width="13.125" bestFit="1" customWidth="1"/>
  </cols>
  <sheetData>
    <row r="2" spans="2:26" x14ac:dyDescent="0.25">
      <c r="B2" s="38" t="s">
        <v>97</v>
      </c>
    </row>
    <row r="4" spans="2:26" ht="26.25" x14ac:dyDescent="0.4">
      <c r="B4" s="51" t="s">
        <v>0</v>
      </c>
    </row>
    <row r="5" spans="2:26" ht="26.25" x14ac:dyDescent="0.4">
      <c r="B5" s="51"/>
    </row>
    <row r="6" spans="2:26" hidden="1" x14ac:dyDescent="0.25">
      <c r="D6">
        <v>1</v>
      </c>
      <c r="E6">
        <f>D6+1</f>
        <v>2</v>
      </c>
      <c r="F6">
        <f t="shared" ref="F6:Z6" si="0">E6+1</f>
        <v>3</v>
      </c>
      <c r="G6">
        <f t="shared" si="0"/>
        <v>4</v>
      </c>
      <c r="H6">
        <f t="shared" si="0"/>
        <v>5</v>
      </c>
      <c r="I6">
        <f t="shared" si="0"/>
        <v>6</v>
      </c>
      <c r="J6">
        <f t="shared" si="0"/>
        <v>7</v>
      </c>
      <c r="K6">
        <f t="shared" si="0"/>
        <v>8</v>
      </c>
      <c r="L6">
        <f t="shared" si="0"/>
        <v>9</v>
      </c>
      <c r="M6">
        <f t="shared" si="0"/>
        <v>10</v>
      </c>
      <c r="N6">
        <f t="shared" si="0"/>
        <v>11</v>
      </c>
      <c r="O6">
        <f t="shared" si="0"/>
        <v>12</v>
      </c>
      <c r="P6">
        <f t="shared" si="0"/>
        <v>13</v>
      </c>
      <c r="Q6">
        <f t="shared" si="0"/>
        <v>14</v>
      </c>
      <c r="R6">
        <f t="shared" si="0"/>
        <v>15</v>
      </c>
      <c r="S6">
        <f t="shared" si="0"/>
        <v>16</v>
      </c>
      <c r="T6">
        <f t="shared" si="0"/>
        <v>17</v>
      </c>
      <c r="U6">
        <f t="shared" si="0"/>
        <v>18</v>
      </c>
      <c r="V6">
        <f t="shared" si="0"/>
        <v>19</v>
      </c>
      <c r="W6">
        <f t="shared" si="0"/>
        <v>20</v>
      </c>
      <c r="X6">
        <f t="shared" si="0"/>
        <v>21</v>
      </c>
      <c r="Y6">
        <f t="shared" si="0"/>
        <v>22</v>
      </c>
      <c r="Z6">
        <f t="shared" si="0"/>
        <v>23</v>
      </c>
    </row>
    <row r="7" spans="2:26" x14ac:dyDescent="0.25">
      <c r="C7" s="50">
        <v>42887</v>
      </c>
      <c r="D7" s="50">
        <f>EOMONTH(C7,1)</f>
        <v>42947</v>
      </c>
      <c r="E7" s="50">
        <f t="shared" ref="E7:J7" si="1">EOMONTH(D7,1)</f>
        <v>42978</v>
      </c>
      <c r="F7" s="50">
        <f t="shared" si="1"/>
        <v>43008</v>
      </c>
      <c r="G7" s="50">
        <f t="shared" si="1"/>
        <v>43039</v>
      </c>
      <c r="H7" s="50">
        <f t="shared" si="1"/>
        <v>43069</v>
      </c>
      <c r="I7" s="50">
        <f t="shared" si="1"/>
        <v>43100</v>
      </c>
      <c r="J7" s="50">
        <f t="shared" si="1"/>
        <v>43131</v>
      </c>
      <c r="K7" s="77">
        <f>EOMONTH(J7,1)</f>
        <v>43159</v>
      </c>
      <c r="L7" s="77">
        <f t="shared" ref="L7:N7" si="2">EOMONTH(K7,1)</f>
        <v>43190</v>
      </c>
      <c r="M7" s="77">
        <f t="shared" si="2"/>
        <v>43220</v>
      </c>
      <c r="N7" s="77">
        <f t="shared" si="2"/>
        <v>43251</v>
      </c>
      <c r="O7" s="77">
        <f t="shared" ref="O7" si="3">EOMONTH(N7,1)</f>
        <v>43281</v>
      </c>
      <c r="P7" s="77">
        <f t="shared" ref="P7" si="4">EOMONTH(O7,1)</f>
        <v>43312</v>
      </c>
      <c r="Q7" s="77">
        <f t="shared" ref="Q7" si="5">EOMONTH(P7,1)</f>
        <v>43343</v>
      </c>
      <c r="R7" s="77">
        <f t="shared" ref="R7" si="6">EOMONTH(Q7,1)</f>
        <v>43373</v>
      </c>
      <c r="S7" s="77">
        <f t="shared" ref="S7" si="7">EOMONTH(R7,1)</f>
        <v>43404</v>
      </c>
      <c r="T7" s="77">
        <f t="shared" ref="T7" si="8">EOMONTH(S7,1)</f>
        <v>43434</v>
      </c>
      <c r="U7" s="77">
        <f t="shared" ref="U7" si="9">EOMONTH(T7,1)</f>
        <v>43465</v>
      </c>
      <c r="V7" s="77">
        <f t="shared" ref="V7" si="10">EOMONTH(U7,1)</f>
        <v>43496</v>
      </c>
      <c r="W7" s="77">
        <f t="shared" ref="W7" si="11">EOMONTH(V7,1)</f>
        <v>43524</v>
      </c>
      <c r="X7" s="77">
        <f t="shared" ref="X7" si="12">EOMONTH(W7,1)</f>
        <v>43555</v>
      </c>
      <c r="Y7" s="77">
        <f t="shared" ref="Y7" si="13">EOMONTH(X7,1)</f>
        <v>43585</v>
      </c>
      <c r="Z7" s="77">
        <f t="shared" ref="Z7" si="14">EOMONTH(Y7,1)</f>
        <v>43616</v>
      </c>
    </row>
    <row r="9" spans="2:26" x14ac:dyDescent="0.25">
      <c r="B9" s="76" t="s">
        <v>22</v>
      </c>
    </row>
    <row r="11" spans="2:26" x14ac:dyDescent="0.25">
      <c r="B11" s="1" t="s">
        <v>105</v>
      </c>
      <c r="C11" s="52">
        <f t="array" ref="C11:N11">TRANSPOSE('Source- Trafego pago '!D4:D15)</f>
        <v>0</v>
      </c>
      <c r="D11" s="52">
        <v>636.70949999999993</v>
      </c>
      <c r="E11" s="52">
        <v>778.30200000000002</v>
      </c>
      <c r="F11" s="52">
        <v>783</v>
      </c>
      <c r="G11" s="52">
        <v>1193.6399999999999</v>
      </c>
      <c r="H11" s="52">
        <v>887.92200000000003</v>
      </c>
      <c r="I11" s="52">
        <v>340.34399999999999</v>
      </c>
      <c r="J11" s="52">
        <v>2512.125</v>
      </c>
      <c r="K11" s="52">
        <v>2717.0099999999998</v>
      </c>
      <c r="L11" s="52">
        <v>4119.4412999999995</v>
      </c>
      <c r="M11" s="52">
        <v>4479.1949999999997</v>
      </c>
      <c r="N11" s="52">
        <v>3982.86</v>
      </c>
      <c r="O11" s="53">
        <f>N11*Suposições!$C$26</f>
        <v>4182.0030000000006</v>
      </c>
      <c r="P11" s="54">
        <f>O11*Suposições!$C$26</f>
        <v>4391.1031500000008</v>
      </c>
      <c r="Q11" s="54">
        <f>P11*Suposições!$C$26</f>
        <v>4610.6583075000008</v>
      </c>
      <c r="R11" s="54">
        <f>Q11*Suposições!$C$26</f>
        <v>4841.1912228750007</v>
      </c>
      <c r="S11" s="54">
        <f>R11*Suposições!$C$26</f>
        <v>5083.2507840187509</v>
      </c>
      <c r="T11" s="54">
        <f>S11*Suposições!$C$26</f>
        <v>5337.4133232196882</v>
      </c>
      <c r="U11" s="54">
        <f>T11*Suposições!$C$26</f>
        <v>5604.2839893806731</v>
      </c>
      <c r="V11" s="54">
        <f>U11*Suposições!$C$26</f>
        <v>5884.4981888497068</v>
      </c>
      <c r="W11" s="54">
        <f>V11*Suposições!$C$26</f>
        <v>6178.7230982921928</v>
      </c>
      <c r="X11" s="54">
        <f>W11*Suposições!$C$26</f>
        <v>6487.6592532068025</v>
      </c>
      <c r="Y11" s="54">
        <f>X11*Suposições!$C$26</f>
        <v>6812.0422158671427</v>
      </c>
      <c r="Z11" s="54">
        <f>Y11*Suposições!$C$26</f>
        <v>7152.6443266605002</v>
      </c>
    </row>
    <row r="12" spans="2:26" x14ac:dyDescent="0.25">
      <c r="B12" s="1" t="s">
        <v>14</v>
      </c>
      <c r="C12" s="52">
        <f t="array" ref="C12:N13">TRANSPOSE('Source- Trafego pago '!E4:F15)</f>
        <v>0</v>
      </c>
      <c r="D12" s="52">
        <v>2.2184999999999997</v>
      </c>
      <c r="E12" s="52">
        <v>2.1924000000000001</v>
      </c>
      <c r="F12" s="52">
        <v>2.61</v>
      </c>
      <c r="G12" s="52">
        <v>2.4359999999999999</v>
      </c>
      <c r="H12" s="52">
        <v>2.3490000000000002</v>
      </c>
      <c r="I12" s="52">
        <v>2.0880000000000001</v>
      </c>
      <c r="J12" s="52">
        <v>2.871</v>
      </c>
      <c r="K12" s="52">
        <v>2.61</v>
      </c>
      <c r="L12" s="52">
        <v>3.0536999999999996</v>
      </c>
      <c r="M12" s="52">
        <v>3.0449999999999999</v>
      </c>
      <c r="N12" s="52">
        <v>3.0449999999999999</v>
      </c>
      <c r="O12" s="53">
        <f>N12*Suposições!$C$27</f>
        <v>3.07545</v>
      </c>
      <c r="P12" s="54">
        <f>O12*Suposições!$C$27</f>
        <v>3.1062045</v>
      </c>
      <c r="Q12" s="54">
        <f>P12*Suposições!$C$27</f>
        <v>3.1372665450000001</v>
      </c>
      <c r="R12" s="54">
        <f>Q12*Suposições!$C$27</f>
        <v>3.1686392104500003</v>
      </c>
      <c r="S12" s="54">
        <f>R12*Suposições!$C$27</f>
        <v>3.2003256025545004</v>
      </c>
      <c r="T12" s="54">
        <f>S12*Suposições!$C$27</f>
        <v>3.2323288585800456</v>
      </c>
      <c r="U12" s="54">
        <f>T12*Suposições!$C$27</f>
        <v>3.2646521471658461</v>
      </c>
      <c r="V12" s="54">
        <f>U12*Suposições!$C$27</f>
        <v>3.2972986686375045</v>
      </c>
      <c r="W12" s="54">
        <f>V12*Suposições!$C$27</f>
        <v>3.3302716553238798</v>
      </c>
      <c r="X12" s="54">
        <f>W12*Suposições!$C$27</f>
        <v>3.3635743718771187</v>
      </c>
      <c r="Y12" s="54">
        <f>X12*Suposições!$C$27</f>
        <v>3.39721011559589</v>
      </c>
      <c r="Z12" s="54">
        <f>Y12*Suposições!$C$27</f>
        <v>3.4311822167518491</v>
      </c>
    </row>
    <row r="13" spans="2:26" x14ac:dyDescent="0.25">
      <c r="B13" s="1" t="s">
        <v>15</v>
      </c>
      <c r="C13" s="55">
        <v>0</v>
      </c>
      <c r="D13" s="55">
        <v>287</v>
      </c>
      <c r="E13" s="55">
        <v>355</v>
      </c>
      <c r="F13" s="55">
        <v>300</v>
      </c>
      <c r="G13" s="55">
        <v>490</v>
      </c>
      <c r="H13" s="55">
        <v>378</v>
      </c>
      <c r="I13" s="55">
        <v>163</v>
      </c>
      <c r="J13" s="55">
        <v>875</v>
      </c>
      <c r="K13" s="55">
        <v>1041</v>
      </c>
      <c r="L13" s="55">
        <v>1349</v>
      </c>
      <c r="M13" s="55">
        <v>1471</v>
      </c>
      <c r="N13" s="55">
        <v>1308</v>
      </c>
      <c r="O13" s="56">
        <f>INT((O11/O12))</f>
        <v>1359</v>
      </c>
      <c r="P13" s="56">
        <f t="shared" ref="P13:Z13" si="15">INT((P11/P12))</f>
        <v>1413</v>
      </c>
      <c r="Q13" s="56">
        <f t="shared" si="15"/>
        <v>1469</v>
      </c>
      <c r="R13" s="56">
        <f t="shared" si="15"/>
        <v>1527</v>
      </c>
      <c r="S13" s="56">
        <f t="shared" si="15"/>
        <v>1588</v>
      </c>
      <c r="T13" s="56">
        <f t="shared" si="15"/>
        <v>1651</v>
      </c>
      <c r="U13" s="56">
        <f t="shared" si="15"/>
        <v>1716</v>
      </c>
      <c r="V13" s="56">
        <f t="shared" si="15"/>
        <v>1784</v>
      </c>
      <c r="W13" s="56">
        <f t="shared" si="15"/>
        <v>1855</v>
      </c>
      <c r="X13" s="56">
        <f t="shared" si="15"/>
        <v>1928</v>
      </c>
      <c r="Y13" s="56">
        <f t="shared" si="15"/>
        <v>2005</v>
      </c>
      <c r="Z13" s="56">
        <f t="shared" si="15"/>
        <v>2084</v>
      </c>
    </row>
    <row r="14" spans="2:26" x14ac:dyDescent="0.25">
      <c r="B14" s="1" t="s">
        <v>21</v>
      </c>
      <c r="C14" s="57">
        <f t="array" ref="C14:N14">TRANSPOSE('Source- Trafego pago '!I4:I15)</f>
        <v>0.2</v>
      </c>
      <c r="D14" s="57">
        <v>0.21</v>
      </c>
      <c r="E14" s="57">
        <v>0.24</v>
      </c>
      <c r="F14" s="57">
        <v>0.23</v>
      </c>
      <c r="G14" s="57">
        <v>0.22</v>
      </c>
      <c r="H14" s="57">
        <v>0.2</v>
      </c>
      <c r="I14" s="57">
        <v>0.23</v>
      </c>
      <c r="J14" s="57">
        <v>0.21</v>
      </c>
      <c r="K14" s="57">
        <v>0.22</v>
      </c>
      <c r="L14" s="57">
        <v>0.21</v>
      </c>
      <c r="M14" s="57">
        <v>0.2</v>
      </c>
      <c r="N14" s="57">
        <v>0.22</v>
      </c>
      <c r="O14" s="3">
        <v>0.22</v>
      </c>
      <c r="P14" s="3">
        <v>0.22</v>
      </c>
      <c r="Q14" s="3">
        <v>0.22</v>
      </c>
      <c r="R14" s="3">
        <v>0.22</v>
      </c>
      <c r="S14" s="3">
        <v>0.22</v>
      </c>
      <c r="T14" s="3">
        <v>0.22</v>
      </c>
      <c r="U14" s="3">
        <v>0.22</v>
      </c>
      <c r="V14" s="3">
        <v>0.22</v>
      </c>
      <c r="W14" s="3">
        <v>0.22</v>
      </c>
      <c r="X14" s="3">
        <v>0.22</v>
      </c>
      <c r="Y14" s="3">
        <v>0.22</v>
      </c>
      <c r="Z14" s="3">
        <v>0.22</v>
      </c>
    </row>
    <row r="15" spans="2:26" s="4" customFormat="1" x14ac:dyDescent="0.25">
      <c r="B15" s="58" t="str">
        <f>SUBSTITUTE(CONCATENATE("Total leads",B9),"1.","")</f>
        <v xml:space="preserve">Total leads Google Search </v>
      </c>
      <c r="C15" s="70">
        <v>0</v>
      </c>
      <c r="D15" s="70">
        <v>56</v>
      </c>
      <c r="E15" s="70">
        <v>79</v>
      </c>
      <c r="F15" s="70">
        <v>64</v>
      </c>
      <c r="G15" s="70">
        <v>100</v>
      </c>
      <c r="H15" s="70">
        <v>70</v>
      </c>
      <c r="I15" s="70">
        <v>35</v>
      </c>
      <c r="J15" s="70">
        <v>170</v>
      </c>
      <c r="K15" s="70">
        <v>212</v>
      </c>
      <c r="L15" s="70">
        <v>262</v>
      </c>
      <c r="M15" s="70">
        <v>272</v>
      </c>
      <c r="N15" s="70">
        <v>266</v>
      </c>
      <c r="O15" s="58">
        <f>INT((O13*O14))</f>
        <v>298</v>
      </c>
      <c r="P15" s="58">
        <f t="shared" ref="P15:Z15" si="16">INT((P13*P14))</f>
        <v>310</v>
      </c>
      <c r="Q15" s="58">
        <f t="shared" si="16"/>
        <v>323</v>
      </c>
      <c r="R15" s="58">
        <f t="shared" si="16"/>
        <v>335</v>
      </c>
      <c r="S15" s="58">
        <f t="shared" si="16"/>
        <v>349</v>
      </c>
      <c r="T15" s="58">
        <f t="shared" si="16"/>
        <v>363</v>
      </c>
      <c r="U15" s="58">
        <f t="shared" si="16"/>
        <v>377</v>
      </c>
      <c r="V15" s="58">
        <f t="shared" si="16"/>
        <v>392</v>
      </c>
      <c r="W15" s="58">
        <f t="shared" si="16"/>
        <v>408</v>
      </c>
      <c r="X15" s="58">
        <f t="shared" si="16"/>
        <v>424</v>
      </c>
      <c r="Y15" s="58">
        <f t="shared" si="16"/>
        <v>441</v>
      </c>
      <c r="Z15" s="58">
        <f t="shared" si="16"/>
        <v>458</v>
      </c>
    </row>
    <row r="17" spans="2:26" x14ac:dyDescent="0.25">
      <c r="B17" s="76" t="s">
        <v>23</v>
      </c>
    </row>
    <row r="19" spans="2:26" x14ac:dyDescent="0.25">
      <c r="B19" s="1" t="s">
        <v>106</v>
      </c>
      <c r="C19" s="52">
        <f t="array" ref="C19:N21">TRANSPOSE('Source- Trafego pago '!D21:F32)</f>
        <v>10</v>
      </c>
      <c r="D19" s="52">
        <v>244.79999999999998</v>
      </c>
      <c r="E19" s="52">
        <v>20.16</v>
      </c>
      <c r="F19" s="52">
        <v>66</v>
      </c>
      <c r="G19" s="52">
        <v>64.399999999999991</v>
      </c>
      <c r="H19" s="52">
        <v>83.7</v>
      </c>
      <c r="I19" s="52">
        <v>52.8</v>
      </c>
      <c r="J19" s="52">
        <v>181.5</v>
      </c>
      <c r="K19" s="52">
        <v>261</v>
      </c>
      <c r="L19" s="52">
        <v>284.31</v>
      </c>
      <c r="M19" s="52">
        <v>357</v>
      </c>
      <c r="N19" s="52">
        <v>189</v>
      </c>
      <c r="O19" s="53">
        <f>N19*Suposições!$C$32</f>
        <v>198.45000000000002</v>
      </c>
      <c r="P19" s="54">
        <f>O19*Suposições!$C$32</f>
        <v>208.37250000000003</v>
      </c>
      <c r="Q19" s="54">
        <f>P19*Suposições!$C$32</f>
        <v>218.79112500000005</v>
      </c>
      <c r="R19" s="54">
        <f>Q19*Suposições!$C$32</f>
        <v>229.73068125000006</v>
      </c>
      <c r="S19" s="54">
        <f>R19*Suposições!$C$32</f>
        <v>241.21721531250009</v>
      </c>
      <c r="T19" s="54">
        <f>S19*Suposições!$C$32</f>
        <v>253.27807607812511</v>
      </c>
      <c r="U19" s="54">
        <f>T19*Suposições!$C$32</f>
        <v>265.94197988203138</v>
      </c>
      <c r="V19" s="54">
        <f>U19*Suposições!$C$32</f>
        <v>279.23907887613296</v>
      </c>
      <c r="W19" s="54">
        <f>V19*Suposições!$C$32</f>
        <v>293.2010328199396</v>
      </c>
      <c r="X19" s="54">
        <f>W19*Suposições!$C$32</f>
        <v>307.86108446093658</v>
      </c>
      <c r="Y19" s="54">
        <f>X19*Suposições!$C$32</f>
        <v>323.2541386839834</v>
      </c>
      <c r="Z19" s="54">
        <f>Y19*Suposições!$C$32</f>
        <v>339.41684561818261</v>
      </c>
    </row>
    <row r="20" spans="2:26" x14ac:dyDescent="0.25">
      <c r="B20" s="1" t="s">
        <v>14</v>
      </c>
      <c r="C20" s="52">
        <v>2.5</v>
      </c>
      <c r="D20" s="52">
        <v>2.5499999999999998</v>
      </c>
      <c r="E20" s="52">
        <v>2.52</v>
      </c>
      <c r="F20" s="52">
        <v>3</v>
      </c>
      <c r="G20" s="52">
        <v>2.8</v>
      </c>
      <c r="H20" s="52">
        <v>2.7</v>
      </c>
      <c r="I20" s="52">
        <v>2.4</v>
      </c>
      <c r="J20" s="52">
        <v>3.3</v>
      </c>
      <c r="K20" s="52">
        <v>3</v>
      </c>
      <c r="L20" s="52">
        <v>3.51</v>
      </c>
      <c r="M20" s="52">
        <v>3.5</v>
      </c>
      <c r="N20" s="52">
        <v>3.5</v>
      </c>
      <c r="O20" s="53">
        <f>N20*Suposições!$C$33</f>
        <v>3.5350000000000001</v>
      </c>
      <c r="P20" s="54">
        <f>O20*Suposições!$C$33</f>
        <v>3.5703500000000004</v>
      </c>
      <c r="Q20" s="54">
        <f>P20*Suposições!$C$33</f>
        <v>3.6060535000000002</v>
      </c>
      <c r="R20" s="54">
        <f>Q20*Suposições!$C$33</f>
        <v>3.6421140350000001</v>
      </c>
      <c r="S20" s="54">
        <f>R20*Suposições!$C$33</f>
        <v>3.67853517535</v>
      </c>
      <c r="T20" s="54">
        <f>S20*Suposições!$C$33</f>
        <v>3.7153205271035001</v>
      </c>
      <c r="U20" s="54">
        <f>T20*Suposições!$C$33</f>
        <v>3.752473732374535</v>
      </c>
      <c r="V20" s="53">
        <f>U20*Suposições!$C$33</f>
        <v>3.7899984696982805</v>
      </c>
      <c r="W20" s="54">
        <f>V20</f>
        <v>3.7899984696982805</v>
      </c>
      <c r="X20" s="54">
        <f t="shared" ref="X20:Z20" si="17">W20</f>
        <v>3.7899984696982805</v>
      </c>
      <c r="Y20" s="54">
        <f t="shared" si="17"/>
        <v>3.7899984696982805</v>
      </c>
      <c r="Z20" s="54">
        <f t="shared" si="17"/>
        <v>3.7899984696982805</v>
      </c>
    </row>
    <row r="21" spans="2:26" x14ac:dyDescent="0.25">
      <c r="B21" s="1" t="s">
        <v>15</v>
      </c>
      <c r="C21" s="55">
        <v>4</v>
      </c>
      <c r="D21" s="55">
        <v>96</v>
      </c>
      <c r="E21" s="55">
        <v>8</v>
      </c>
      <c r="F21" s="55">
        <v>22</v>
      </c>
      <c r="G21" s="55">
        <v>23</v>
      </c>
      <c r="H21" s="55">
        <v>31</v>
      </c>
      <c r="I21" s="55">
        <v>22</v>
      </c>
      <c r="J21" s="55">
        <v>55</v>
      </c>
      <c r="K21" s="55">
        <v>87</v>
      </c>
      <c r="L21" s="55">
        <v>81</v>
      </c>
      <c r="M21" s="55">
        <v>102</v>
      </c>
      <c r="N21" s="55">
        <v>54</v>
      </c>
      <c r="O21" s="56">
        <f>INT((O19/O20))</f>
        <v>56</v>
      </c>
      <c r="P21" s="56">
        <f t="shared" ref="P21:Z21" si="18">INT((P19/P20))</f>
        <v>58</v>
      </c>
      <c r="Q21" s="56">
        <f t="shared" si="18"/>
        <v>60</v>
      </c>
      <c r="R21" s="56">
        <f t="shared" si="18"/>
        <v>63</v>
      </c>
      <c r="S21" s="56">
        <f t="shared" si="18"/>
        <v>65</v>
      </c>
      <c r="T21" s="56">
        <f t="shared" si="18"/>
        <v>68</v>
      </c>
      <c r="U21" s="56">
        <f t="shared" si="18"/>
        <v>70</v>
      </c>
      <c r="V21" s="56">
        <f t="shared" si="18"/>
        <v>73</v>
      </c>
      <c r="W21" s="56">
        <f t="shared" si="18"/>
        <v>77</v>
      </c>
      <c r="X21" s="56">
        <f t="shared" si="18"/>
        <v>81</v>
      </c>
      <c r="Y21" s="56">
        <f t="shared" si="18"/>
        <v>85</v>
      </c>
      <c r="Z21" s="56">
        <f t="shared" si="18"/>
        <v>89</v>
      </c>
    </row>
    <row r="22" spans="2:26" x14ac:dyDescent="0.25">
      <c r="B22" s="1" t="s">
        <v>21</v>
      </c>
      <c r="C22" s="57">
        <f t="array" ref="C22:N22">TRANSPOSE('Source- Trafego pago '!I21:I32)</f>
        <v>0.2</v>
      </c>
      <c r="D22" s="57">
        <v>0.21</v>
      </c>
      <c r="E22" s="57">
        <v>0.24</v>
      </c>
      <c r="F22" s="57">
        <v>0.23</v>
      </c>
      <c r="G22" s="57">
        <v>0.22</v>
      </c>
      <c r="H22" s="57">
        <v>0.2</v>
      </c>
      <c r="I22" s="57">
        <v>0.23</v>
      </c>
      <c r="J22" s="57">
        <v>0.21</v>
      </c>
      <c r="K22" s="57">
        <v>0.22</v>
      </c>
      <c r="L22" s="57">
        <v>0.21</v>
      </c>
      <c r="M22" s="57">
        <v>0.2</v>
      </c>
      <c r="N22" s="57">
        <v>0.22</v>
      </c>
      <c r="O22" s="60">
        <v>0.22</v>
      </c>
      <c r="P22" s="60">
        <v>0.22</v>
      </c>
      <c r="Q22" s="60">
        <v>0.22</v>
      </c>
      <c r="R22" s="60">
        <v>0.22</v>
      </c>
      <c r="S22" s="60">
        <v>0.22</v>
      </c>
      <c r="T22" s="60">
        <v>0.22</v>
      </c>
      <c r="U22" s="60">
        <v>0.22</v>
      </c>
      <c r="V22" s="60">
        <v>0.22</v>
      </c>
      <c r="W22" s="60">
        <v>0.22</v>
      </c>
      <c r="X22" s="60">
        <v>0.22</v>
      </c>
      <c r="Y22" s="60">
        <v>0.22</v>
      </c>
      <c r="Z22" s="60">
        <v>0.22</v>
      </c>
    </row>
    <row r="23" spans="2:26" s="4" customFormat="1" x14ac:dyDescent="0.25">
      <c r="B23" s="58" t="str">
        <f>SUBSTITUTE(CONCATENATE("Total leads",B17),"2.","")</f>
        <v xml:space="preserve">Total leads Google Display </v>
      </c>
      <c r="C23" s="70">
        <v>1</v>
      </c>
      <c r="D23" s="70">
        <v>19</v>
      </c>
      <c r="E23" s="70">
        <v>2</v>
      </c>
      <c r="F23" s="70">
        <v>5</v>
      </c>
      <c r="G23" s="70">
        <v>5</v>
      </c>
      <c r="H23" s="70">
        <v>6</v>
      </c>
      <c r="I23" s="70">
        <v>5</v>
      </c>
      <c r="J23" s="70">
        <v>11</v>
      </c>
      <c r="K23" s="70">
        <v>18</v>
      </c>
      <c r="L23" s="70">
        <v>16</v>
      </c>
      <c r="M23" s="70">
        <v>19</v>
      </c>
      <c r="N23" s="70">
        <v>11</v>
      </c>
      <c r="O23" s="58">
        <f>INT((O21*O22))</f>
        <v>12</v>
      </c>
      <c r="P23" s="58">
        <f t="shared" ref="P23:Z23" si="19">INT((P21*P22))</f>
        <v>12</v>
      </c>
      <c r="Q23" s="58">
        <f t="shared" si="19"/>
        <v>13</v>
      </c>
      <c r="R23" s="58">
        <f t="shared" si="19"/>
        <v>13</v>
      </c>
      <c r="S23" s="58">
        <f t="shared" si="19"/>
        <v>14</v>
      </c>
      <c r="T23" s="58">
        <f t="shared" si="19"/>
        <v>14</v>
      </c>
      <c r="U23" s="58">
        <f t="shared" si="19"/>
        <v>15</v>
      </c>
      <c r="V23" s="58">
        <f t="shared" si="19"/>
        <v>16</v>
      </c>
      <c r="W23" s="58">
        <f t="shared" si="19"/>
        <v>16</v>
      </c>
      <c r="X23" s="58">
        <f t="shared" si="19"/>
        <v>17</v>
      </c>
      <c r="Y23" s="58">
        <f t="shared" si="19"/>
        <v>18</v>
      </c>
      <c r="Z23" s="58">
        <f t="shared" si="19"/>
        <v>19</v>
      </c>
    </row>
    <row r="25" spans="2:26" x14ac:dyDescent="0.25">
      <c r="B25" s="76" t="s">
        <v>39</v>
      </c>
    </row>
    <row r="27" spans="2:26" x14ac:dyDescent="0.25">
      <c r="B27" s="1" t="s">
        <v>107</v>
      </c>
      <c r="C27" s="52">
        <f t="array" ref="C27:N29">TRANSPOSE('Source- Trafego pago '!D37:F48)</f>
        <v>0</v>
      </c>
      <c r="D27" s="52">
        <v>41.929649999999995</v>
      </c>
      <c r="E27" s="52">
        <v>23.677920000000004</v>
      </c>
      <c r="F27" s="52">
        <v>59.899499999999996</v>
      </c>
      <c r="G27" s="52">
        <v>177.58440000000002</v>
      </c>
      <c r="H27" s="52">
        <v>47.567250000000008</v>
      </c>
      <c r="I27" s="52">
        <v>8.4564000000000021</v>
      </c>
      <c r="J27" s="52">
        <v>135.65475000000001</v>
      </c>
      <c r="K27" s="52">
        <v>81.040499999999994</v>
      </c>
      <c r="L27" s="52">
        <v>164.8998</v>
      </c>
      <c r="M27" s="52">
        <v>263.08800000000002</v>
      </c>
      <c r="N27" s="52">
        <v>172.65150000000003</v>
      </c>
      <c r="O27" s="53">
        <f>N27*Suposições!$C$41</f>
        <v>184.73710500000004</v>
      </c>
      <c r="P27" s="61">
        <f>O27*Suposições!$C$41</f>
        <v>197.66870235000005</v>
      </c>
      <c r="Q27" s="61">
        <f>P27*Suposições!$C$41</f>
        <v>211.50551151450006</v>
      </c>
      <c r="R27" s="61">
        <f>Q27*Suposições!$C$41</f>
        <v>226.31089732051507</v>
      </c>
      <c r="S27" s="61">
        <f>R27*Suposições!$C$41</f>
        <v>242.15266013295113</v>
      </c>
      <c r="T27" s="61">
        <f>S27*Suposições!$C$41</f>
        <v>259.10334634225774</v>
      </c>
      <c r="U27" s="61">
        <f>T27*Suposições!$C$41</f>
        <v>277.2405805862158</v>
      </c>
      <c r="V27" s="61">
        <f>U27*Suposições!$C$41</f>
        <v>296.6474212272509</v>
      </c>
      <c r="W27" s="61">
        <f>V27*Suposições!$C$41</f>
        <v>317.41274071315848</v>
      </c>
      <c r="X27" s="61">
        <f>W27*Suposições!$C$41</f>
        <v>339.63163256307962</v>
      </c>
      <c r="Y27" s="61">
        <f>X27*Suposições!$C$41</f>
        <v>363.40584684249524</v>
      </c>
      <c r="Z27" s="61">
        <f>Y27*Suposições!$C$41</f>
        <v>388.84425612146993</v>
      </c>
    </row>
    <row r="28" spans="2:26" x14ac:dyDescent="0.25">
      <c r="B28" s="1" t="s">
        <v>14</v>
      </c>
      <c r="C28" s="52">
        <v>0</v>
      </c>
      <c r="D28" s="52">
        <v>2.9949749999999997</v>
      </c>
      <c r="E28" s="52">
        <v>2.9597400000000005</v>
      </c>
      <c r="F28" s="52">
        <v>3.5234999999999999</v>
      </c>
      <c r="G28" s="52">
        <v>3.2886000000000002</v>
      </c>
      <c r="H28" s="52">
        <v>3.1711500000000004</v>
      </c>
      <c r="I28" s="52">
        <v>2.8188000000000004</v>
      </c>
      <c r="J28" s="52">
        <v>3.8758500000000002</v>
      </c>
      <c r="K28" s="52">
        <v>3.5234999999999999</v>
      </c>
      <c r="L28" s="52">
        <v>4.1224949999999998</v>
      </c>
      <c r="M28" s="52">
        <v>4.1107500000000003</v>
      </c>
      <c r="N28" s="52">
        <v>4.1107500000000003</v>
      </c>
      <c r="O28" s="53">
        <f>(Suposições!$C$38*O27)+Suposições!$C$39</f>
        <v>3.9001592355000003</v>
      </c>
      <c r="P28" s="54">
        <f>(Suposições!$C$38*P27)+Suposições!$C$39</f>
        <v>3.9661103819850005</v>
      </c>
      <c r="Q28" s="54">
        <f>(Suposições!$C$38*Q27)+Suposições!$C$39</f>
        <v>4.0366781087239509</v>
      </c>
      <c r="R28" s="54">
        <f>(Suposições!$C$38*R27)+Suposições!$C$39</f>
        <v>4.1121855763346273</v>
      </c>
      <c r="S28" s="54">
        <f>(Suposições!$C$38*S27)+Suposições!$C$39</f>
        <v>4.1929785666780512</v>
      </c>
      <c r="T28" s="54">
        <f>(Suposições!$C$38*T27)+Suposições!$C$39</f>
        <v>4.279427066345515</v>
      </c>
      <c r="U28" s="54">
        <f>(Suposições!$C$38*U27)+Suposições!$C$39</f>
        <v>4.3719269609897005</v>
      </c>
      <c r="V28" s="54">
        <f>(Suposições!$C$38*V27)+Suposições!$C$39</f>
        <v>4.47090184825898</v>
      </c>
      <c r="W28" s="54">
        <f>(Suposições!$C$38*W27)+Suposições!$C$39</f>
        <v>4.5768049776371083</v>
      </c>
      <c r="X28" s="54">
        <f>(Suposições!$C$38*X27)+Suposições!$C$39</f>
        <v>4.6901213260717061</v>
      </c>
      <c r="Y28" s="54">
        <f>(Suposições!$C$38*Y27)+Suposições!$C$39</f>
        <v>4.8113698188967255</v>
      </c>
      <c r="Z28" s="54">
        <f>(Suposições!$C$38*Z27)+Suposições!$C$39</f>
        <v>4.9411057062194974</v>
      </c>
    </row>
    <row r="29" spans="2:26" x14ac:dyDescent="0.25">
      <c r="B29" s="1" t="s">
        <v>15</v>
      </c>
      <c r="C29" s="55">
        <v>0</v>
      </c>
      <c r="D29" s="55">
        <v>14</v>
      </c>
      <c r="E29" s="55">
        <v>8</v>
      </c>
      <c r="F29" s="55">
        <v>17</v>
      </c>
      <c r="G29" s="55">
        <v>54</v>
      </c>
      <c r="H29" s="55">
        <v>15</v>
      </c>
      <c r="I29" s="55">
        <v>3</v>
      </c>
      <c r="J29" s="55">
        <v>35</v>
      </c>
      <c r="K29" s="55">
        <v>23</v>
      </c>
      <c r="L29" s="55">
        <v>40</v>
      </c>
      <c r="M29" s="55">
        <v>64</v>
      </c>
      <c r="N29" s="55">
        <v>42</v>
      </c>
      <c r="O29" s="56">
        <f>INT((O27/O28))</f>
        <v>47</v>
      </c>
      <c r="P29" s="56">
        <f t="shared" ref="P29:Z29" si="20">INT((P27/P28))</f>
        <v>49</v>
      </c>
      <c r="Q29" s="56">
        <f t="shared" si="20"/>
        <v>52</v>
      </c>
      <c r="R29" s="56">
        <f t="shared" si="20"/>
        <v>55</v>
      </c>
      <c r="S29" s="56">
        <f t="shared" si="20"/>
        <v>57</v>
      </c>
      <c r="T29" s="56">
        <f t="shared" si="20"/>
        <v>60</v>
      </c>
      <c r="U29" s="56">
        <f t="shared" si="20"/>
        <v>63</v>
      </c>
      <c r="V29" s="56">
        <f t="shared" si="20"/>
        <v>66</v>
      </c>
      <c r="W29" s="56">
        <f t="shared" si="20"/>
        <v>69</v>
      </c>
      <c r="X29" s="56">
        <f t="shared" si="20"/>
        <v>72</v>
      </c>
      <c r="Y29" s="56">
        <f t="shared" si="20"/>
        <v>75</v>
      </c>
      <c r="Z29" s="56">
        <f t="shared" si="20"/>
        <v>78</v>
      </c>
    </row>
    <row r="30" spans="2:26" x14ac:dyDescent="0.25">
      <c r="B30" s="1" t="s">
        <v>21</v>
      </c>
      <c r="C30" s="57">
        <f t="array" ref="C30:N30">TRANSPOSE('Source- Trafego pago '!I37:I48)</f>
        <v>0.2</v>
      </c>
      <c r="D30" s="57">
        <v>0.21</v>
      </c>
      <c r="E30" s="57">
        <v>0.24</v>
      </c>
      <c r="F30" s="57">
        <v>0.23</v>
      </c>
      <c r="G30" s="57">
        <v>0.22</v>
      </c>
      <c r="H30" s="57">
        <v>0.2</v>
      </c>
      <c r="I30" s="57">
        <v>0.23</v>
      </c>
      <c r="J30" s="57">
        <v>0.21</v>
      </c>
      <c r="K30" s="57">
        <v>0.22</v>
      </c>
      <c r="L30" s="57">
        <v>0.21</v>
      </c>
      <c r="M30" s="57">
        <v>0.2</v>
      </c>
      <c r="N30" s="57">
        <v>0.22</v>
      </c>
      <c r="O30" s="57">
        <f>Suposições!$C$42</f>
        <v>0.13</v>
      </c>
      <c r="P30" s="60">
        <f>Suposições!$C$42</f>
        <v>0.13</v>
      </c>
      <c r="Q30" s="60">
        <f>Suposições!$C$42</f>
        <v>0.13</v>
      </c>
      <c r="R30" s="60">
        <f>Suposições!$C$42</f>
        <v>0.13</v>
      </c>
      <c r="S30" s="60">
        <f>Suposições!$C$42</f>
        <v>0.13</v>
      </c>
      <c r="T30" s="60">
        <f>Suposições!$C$42</f>
        <v>0.13</v>
      </c>
      <c r="U30" s="60">
        <f>Suposições!$C$42</f>
        <v>0.13</v>
      </c>
      <c r="V30" s="60">
        <f>Suposições!$C$42</f>
        <v>0.13</v>
      </c>
      <c r="W30" s="60">
        <f>Suposições!$C$42</f>
        <v>0.13</v>
      </c>
      <c r="X30" s="60">
        <f>Suposições!$C$42</f>
        <v>0.13</v>
      </c>
      <c r="Y30" s="60">
        <v>0.22</v>
      </c>
      <c r="Z30" s="60">
        <v>0.22</v>
      </c>
    </row>
    <row r="31" spans="2:26" s="4" customFormat="1" x14ac:dyDescent="0.25">
      <c r="B31" s="58" t="str">
        <f>SUBSTITUTE(CONCATENATE("Total leads",B25),"3.","")</f>
        <v xml:space="preserve">Total leads Facebook </v>
      </c>
      <c r="C31" s="70">
        <v>0</v>
      </c>
      <c r="D31" s="70">
        <v>3</v>
      </c>
      <c r="E31" s="70">
        <v>2</v>
      </c>
      <c r="F31" s="70">
        <v>4</v>
      </c>
      <c r="G31" s="70">
        <v>11</v>
      </c>
      <c r="H31" s="70">
        <v>3</v>
      </c>
      <c r="I31" s="70">
        <v>1</v>
      </c>
      <c r="J31" s="70">
        <v>7</v>
      </c>
      <c r="K31" s="70">
        <v>5</v>
      </c>
      <c r="L31" s="70">
        <v>8</v>
      </c>
      <c r="M31" s="70">
        <v>12</v>
      </c>
      <c r="N31" s="70">
        <v>9</v>
      </c>
      <c r="O31" s="58">
        <f>INT((O29*O30))</f>
        <v>6</v>
      </c>
      <c r="P31" s="58">
        <f t="shared" ref="P31:Z31" si="21">INT((P29*P30))</f>
        <v>6</v>
      </c>
      <c r="Q31" s="58">
        <f t="shared" si="21"/>
        <v>6</v>
      </c>
      <c r="R31" s="58">
        <f t="shared" si="21"/>
        <v>7</v>
      </c>
      <c r="S31" s="58">
        <f t="shared" si="21"/>
        <v>7</v>
      </c>
      <c r="T31" s="58">
        <f t="shared" si="21"/>
        <v>7</v>
      </c>
      <c r="U31" s="58">
        <f t="shared" si="21"/>
        <v>8</v>
      </c>
      <c r="V31" s="58">
        <f>INT((V29*V30))</f>
        <v>8</v>
      </c>
      <c r="W31" s="58">
        <f t="shared" si="21"/>
        <v>8</v>
      </c>
      <c r="X31" s="58">
        <f t="shared" si="21"/>
        <v>9</v>
      </c>
      <c r="Y31" s="58">
        <f t="shared" si="21"/>
        <v>16</v>
      </c>
      <c r="Z31" s="58">
        <f t="shared" si="21"/>
        <v>17</v>
      </c>
    </row>
    <row r="33" spans="2:26" x14ac:dyDescent="0.25">
      <c r="B33" s="58" t="s">
        <v>32</v>
      </c>
      <c r="C33" s="54">
        <f t="shared" ref="C33:N33" si="22">SUM(C11,C19,C27)</f>
        <v>10</v>
      </c>
      <c r="D33" s="54">
        <f t="shared" si="22"/>
        <v>923.43914999999993</v>
      </c>
      <c r="E33" s="54">
        <f t="shared" si="22"/>
        <v>822.13991999999996</v>
      </c>
      <c r="F33" s="54">
        <f t="shared" si="22"/>
        <v>908.89949999999999</v>
      </c>
      <c r="G33" s="54">
        <f t="shared" si="22"/>
        <v>1435.6243999999999</v>
      </c>
      <c r="H33" s="54">
        <f t="shared" si="22"/>
        <v>1019.1892500000001</v>
      </c>
      <c r="I33" s="54">
        <f t="shared" si="22"/>
        <v>401.60040000000004</v>
      </c>
      <c r="J33" s="54">
        <f t="shared" si="22"/>
        <v>2829.2797500000001</v>
      </c>
      <c r="K33" s="54">
        <f t="shared" si="22"/>
        <v>3059.0504999999998</v>
      </c>
      <c r="L33" s="54">
        <f t="shared" si="22"/>
        <v>4568.6511</v>
      </c>
      <c r="M33" s="54">
        <f t="shared" si="22"/>
        <v>5099.2829999999994</v>
      </c>
      <c r="N33" s="54">
        <f t="shared" si="22"/>
        <v>4344.5115000000005</v>
      </c>
      <c r="O33" s="54">
        <f t="shared" ref="O33:Z33" si="23">SUM(O11,O19,O27)</f>
        <v>4565.1901050000006</v>
      </c>
      <c r="P33" s="54">
        <f t="shared" si="23"/>
        <v>4797.1443523500011</v>
      </c>
      <c r="Q33" s="54">
        <f t="shared" si="23"/>
        <v>5040.9549440145001</v>
      </c>
      <c r="R33" s="54">
        <f t="shared" si="23"/>
        <v>5297.2328014455161</v>
      </c>
      <c r="S33" s="54">
        <f t="shared" si="23"/>
        <v>5566.6206594642026</v>
      </c>
      <c r="T33" s="54">
        <f t="shared" si="23"/>
        <v>5849.7947456400707</v>
      </c>
      <c r="U33" s="54">
        <f t="shared" si="23"/>
        <v>6147.4665498489203</v>
      </c>
      <c r="V33" s="54">
        <f t="shared" si="23"/>
        <v>6460.3846889530905</v>
      </c>
      <c r="W33" s="54">
        <f t="shared" si="23"/>
        <v>6789.3368718252905</v>
      </c>
      <c r="X33" s="54">
        <f t="shared" si="23"/>
        <v>7135.1519702308187</v>
      </c>
      <c r="Y33" s="54">
        <f t="shared" si="23"/>
        <v>7498.7022013936212</v>
      </c>
      <c r="Z33" s="54">
        <f t="shared" si="23"/>
        <v>7880.9054284001522</v>
      </c>
    </row>
    <row r="34" spans="2:26" x14ac:dyDescent="0.25">
      <c r="B34" s="58" t="s">
        <v>33</v>
      </c>
      <c r="C34" s="63">
        <f t="shared" ref="C34:N34" si="24">SUM(C15,C23,C31)</f>
        <v>1</v>
      </c>
      <c r="D34" s="63">
        <f t="shared" si="24"/>
        <v>78</v>
      </c>
      <c r="E34" s="63">
        <f t="shared" si="24"/>
        <v>83</v>
      </c>
      <c r="F34" s="63">
        <f t="shared" si="24"/>
        <v>73</v>
      </c>
      <c r="G34" s="63">
        <f t="shared" si="24"/>
        <v>116</v>
      </c>
      <c r="H34" s="63">
        <f t="shared" si="24"/>
        <v>79</v>
      </c>
      <c r="I34" s="63">
        <f t="shared" si="24"/>
        <v>41</v>
      </c>
      <c r="J34" s="63">
        <f t="shared" si="24"/>
        <v>188</v>
      </c>
      <c r="K34" s="63">
        <f t="shared" si="24"/>
        <v>235</v>
      </c>
      <c r="L34" s="63">
        <f t="shared" si="24"/>
        <v>286</v>
      </c>
      <c r="M34" s="63">
        <f t="shared" si="24"/>
        <v>303</v>
      </c>
      <c r="N34" s="63">
        <f t="shared" si="24"/>
        <v>286</v>
      </c>
      <c r="O34" s="63">
        <f t="shared" ref="O34:Z34" si="25">SUM(O15,O23,O31)</f>
        <v>316</v>
      </c>
      <c r="P34" s="63">
        <f t="shared" si="25"/>
        <v>328</v>
      </c>
      <c r="Q34" s="63">
        <f t="shared" si="25"/>
        <v>342</v>
      </c>
      <c r="R34" s="63">
        <f t="shared" si="25"/>
        <v>355</v>
      </c>
      <c r="S34" s="63">
        <f t="shared" si="25"/>
        <v>370</v>
      </c>
      <c r="T34" s="63">
        <f t="shared" si="25"/>
        <v>384</v>
      </c>
      <c r="U34" s="63">
        <f t="shared" si="25"/>
        <v>400</v>
      </c>
      <c r="V34" s="63">
        <f>SUM(V15,V23,V31)</f>
        <v>416</v>
      </c>
      <c r="W34" s="63">
        <f t="shared" si="25"/>
        <v>432</v>
      </c>
      <c r="X34" s="63">
        <f t="shared" si="25"/>
        <v>450</v>
      </c>
      <c r="Y34" s="63">
        <f t="shared" si="25"/>
        <v>475</v>
      </c>
      <c r="Z34" s="63">
        <f t="shared" si="25"/>
        <v>494</v>
      </c>
    </row>
  </sheetData>
  <hyperlinks>
    <hyperlink ref="B2" location="Capa!A1" display="Voltar para o Menu" xr:uid="{DD01A4CC-BF0F-40A2-81F8-6300993A5862}"/>
  </hyperlink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53FB-6167-2C4E-93A2-D7AEEE32D079}">
  <dimension ref="B2:P48"/>
  <sheetViews>
    <sheetView topLeftCell="D1" zoomScale="60" zoomScaleNormal="60" workbookViewId="0">
      <selection activeCell="N30" sqref="N30"/>
    </sheetView>
  </sheetViews>
  <sheetFormatPr defaultColWidth="11" defaultRowHeight="15.75" x14ac:dyDescent="0.25"/>
  <cols>
    <col min="2" max="3" width="15.125" customWidth="1"/>
    <col min="4" max="10" width="18.375" customWidth="1"/>
    <col min="11" max="11" width="17" customWidth="1"/>
    <col min="12" max="12" width="15.125" customWidth="1"/>
    <col min="13" max="16" width="15.375" customWidth="1"/>
  </cols>
  <sheetData>
    <row r="2" spans="2:11" x14ac:dyDescent="0.25">
      <c r="B2" t="s">
        <v>27</v>
      </c>
    </row>
    <row r="3" spans="2:11" x14ac:dyDescent="0.25">
      <c r="B3" s="1" t="s">
        <v>13</v>
      </c>
      <c r="C3" s="1" t="s">
        <v>24</v>
      </c>
      <c r="D3" s="1" t="s">
        <v>16</v>
      </c>
      <c r="E3" s="1" t="s">
        <v>14</v>
      </c>
      <c r="F3" s="1" t="s">
        <v>15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31</v>
      </c>
    </row>
    <row r="4" spans="2:11" x14ac:dyDescent="0.25">
      <c r="B4" s="1" t="s">
        <v>1</v>
      </c>
      <c r="C4" s="1" t="s">
        <v>25</v>
      </c>
      <c r="D4" s="2">
        <f t="shared" ref="D4:D15" si="0">E4*F4</f>
        <v>0</v>
      </c>
      <c r="E4" s="2">
        <v>0</v>
      </c>
      <c r="F4" s="1">
        <f t="shared" ref="F4:F15" si="1">INT(G4/0.85)</f>
        <v>0</v>
      </c>
      <c r="G4" s="1">
        <f>INT(0.92*H4)</f>
        <v>0</v>
      </c>
      <c r="H4" s="1">
        <f>INT(K4/I4)</f>
        <v>0</v>
      </c>
      <c r="I4" s="3">
        <v>0.2</v>
      </c>
      <c r="J4" s="8">
        <f>INT(K4*1.05)</f>
        <v>0</v>
      </c>
      <c r="K4" s="1">
        <v>0</v>
      </c>
    </row>
    <row r="5" spans="2:11" x14ac:dyDescent="0.25">
      <c r="B5" s="1" t="s">
        <v>2</v>
      </c>
      <c r="C5" s="1" t="s">
        <v>25</v>
      </c>
      <c r="D5" s="2">
        <f t="shared" si="0"/>
        <v>636.70949999999993</v>
      </c>
      <c r="E5" s="2">
        <f>E22*0.87</f>
        <v>2.2184999999999997</v>
      </c>
      <c r="F5" s="1">
        <f t="shared" si="1"/>
        <v>287</v>
      </c>
      <c r="G5" s="1">
        <f t="shared" ref="G5:G15" si="2">INT(0.92*H5)</f>
        <v>244</v>
      </c>
      <c r="H5" s="1">
        <f t="shared" ref="H5:H15" si="3">INT(K5/I5)</f>
        <v>266</v>
      </c>
      <c r="I5" s="3">
        <v>0.21</v>
      </c>
      <c r="J5" s="8">
        <f t="shared" ref="J5:J15" si="4">INT(K5*1.05)</f>
        <v>58</v>
      </c>
      <c r="K5" s="6">
        <v>56</v>
      </c>
    </row>
    <row r="6" spans="2:11" x14ac:dyDescent="0.25">
      <c r="B6" s="1" t="s">
        <v>3</v>
      </c>
      <c r="C6" s="1" t="s">
        <v>25</v>
      </c>
      <c r="D6" s="2">
        <f t="shared" si="0"/>
        <v>778.30200000000002</v>
      </c>
      <c r="E6" s="2">
        <f t="shared" ref="E6:E15" si="5">E23*0.87</f>
        <v>2.1924000000000001</v>
      </c>
      <c r="F6" s="1">
        <f t="shared" si="1"/>
        <v>355</v>
      </c>
      <c r="G6" s="1">
        <f t="shared" si="2"/>
        <v>302</v>
      </c>
      <c r="H6" s="1">
        <f t="shared" si="3"/>
        <v>329</v>
      </c>
      <c r="I6" s="3">
        <v>0.24</v>
      </c>
      <c r="J6" s="8">
        <f t="shared" si="4"/>
        <v>82</v>
      </c>
      <c r="K6" s="6">
        <v>79</v>
      </c>
    </row>
    <row r="7" spans="2:11" x14ac:dyDescent="0.25">
      <c r="B7" s="1" t="s">
        <v>4</v>
      </c>
      <c r="C7" s="1" t="s">
        <v>25</v>
      </c>
      <c r="D7" s="2">
        <f t="shared" si="0"/>
        <v>783</v>
      </c>
      <c r="E7" s="2">
        <f t="shared" si="5"/>
        <v>2.61</v>
      </c>
      <c r="F7" s="1">
        <f t="shared" si="1"/>
        <v>300</v>
      </c>
      <c r="G7" s="1">
        <f t="shared" si="2"/>
        <v>255</v>
      </c>
      <c r="H7" s="1">
        <f t="shared" si="3"/>
        <v>278</v>
      </c>
      <c r="I7" s="3">
        <v>0.23</v>
      </c>
      <c r="J7" s="8">
        <f t="shared" si="4"/>
        <v>67</v>
      </c>
      <c r="K7" s="6">
        <v>64</v>
      </c>
    </row>
    <row r="8" spans="2:11" x14ac:dyDescent="0.25">
      <c r="B8" s="1" t="s">
        <v>5</v>
      </c>
      <c r="C8" s="1" t="s">
        <v>25</v>
      </c>
      <c r="D8" s="2">
        <f t="shared" si="0"/>
        <v>1193.6399999999999</v>
      </c>
      <c r="E8" s="2">
        <f t="shared" si="5"/>
        <v>2.4359999999999999</v>
      </c>
      <c r="F8" s="1">
        <f t="shared" si="1"/>
        <v>490</v>
      </c>
      <c r="G8" s="1">
        <f t="shared" si="2"/>
        <v>417</v>
      </c>
      <c r="H8" s="1">
        <f t="shared" si="3"/>
        <v>454</v>
      </c>
      <c r="I8" s="3">
        <v>0.22</v>
      </c>
      <c r="J8" s="8">
        <f t="shared" si="4"/>
        <v>105</v>
      </c>
      <c r="K8" s="6">
        <v>100</v>
      </c>
    </row>
    <row r="9" spans="2:11" x14ac:dyDescent="0.25">
      <c r="B9" s="1" t="s">
        <v>6</v>
      </c>
      <c r="C9" s="1" t="s">
        <v>25</v>
      </c>
      <c r="D9" s="2">
        <f t="shared" si="0"/>
        <v>887.92200000000003</v>
      </c>
      <c r="E9" s="2">
        <f t="shared" si="5"/>
        <v>2.3490000000000002</v>
      </c>
      <c r="F9" s="1">
        <f t="shared" si="1"/>
        <v>378</v>
      </c>
      <c r="G9" s="1">
        <f t="shared" si="2"/>
        <v>322</v>
      </c>
      <c r="H9" s="1">
        <f t="shared" si="3"/>
        <v>350</v>
      </c>
      <c r="I9" s="3">
        <v>0.2</v>
      </c>
      <c r="J9" s="8">
        <f t="shared" si="4"/>
        <v>73</v>
      </c>
      <c r="K9" s="6">
        <v>70</v>
      </c>
    </row>
    <row r="10" spans="2:11" x14ac:dyDescent="0.25">
      <c r="B10" s="1" t="s">
        <v>7</v>
      </c>
      <c r="C10" s="1" t="s">
        <v>25</v>
      </c>
      <c r="D10" s="2">
        <f t="shared" si="0"/>
        <v>340.34399999999999</v>
      </c>
      <c r="E10" s="2">
        <f t="shared" si="5"/>
        <v>2.0880000000000001</v>
      </c>
      <c r="F10" s="1">
        <f t="shared" si="1"/>
        <v>163</v>
      </c>
      <c r="G10" s="1">
        <f t="shared" si="2"/>
        <v>139</v>
      </c>
      <c r="H10" s="1">
        <f t="shared" si="3"/>
        <v>152</v>
      </c>
      <c r="I10" s="3">
        <v>0.23</v>
      </c>
      <c r="J10" s="8">
        <f t="shared" si="4"/>
        <v>36</v>
      </c>
      <c r="K10" s="6">
        <v>35</v>
      </c>
    </row>
    <row r="11" spans="2:11" x14ac:dyDescent="0.25">
      <c r="B11" s="1" t="s">
        <v>8</v>
      </c>
      <c r="C11" s="1" t="s">
        <v>25</v>
      </c>
      <c r="D11" s="2">
        <f t="shared" si="0"/>
        <v>2512.125</v>
      </c>
      <c r="E11" s="2">
        <f t="shared" si="5"/>
        <v>2.871</v>
      </c>
      <c r="F11" s="1">
        <f t="shared" si="1"/>
        <v>875</v>
      </c>
      <c r="G11" s="1">
        <f t="shared" si="2"/>
        <v>744</v>
      </c>
      <c r="H11" s="1">
        <f t="shared" si="3"/>
        <v>809</v>
      </c>
      <c r="I11" s="3">
        <v>0.21</v>
      </c>
      <c r="J11" s="8">
        <f t="shared" si="4"/>
        <v>178</v>
      </c>
      <c r="K11" s="6">
        <v>170</v>
      </c>
    </row>
    <row r="12" spans="2:11" x14ac:dyDescent="0.25">
      <c r="B12" s="1" t="s">
        <v>9</v>
      </c>
      <c r="C12" s="1" t="s">
        <v>25</v>
      </c>
      <c r="D12" s="2">
        <f t="shared" si="0"/>
        <v>2717.0099999999998</v>
      </c>
      <c r="E12" s="2">
        <f t="shared" si="5"/>
        <v>2.61</v>
      </c>
      <c r="F12" s="1">
        <f t="shared" si="1"/>
        <v>1041</v>
      </c>
      <c r="G12" s="1">
        <f t="shared" si="2"/>
        <v>885</v>
      </c>
      <c r="H12" s="1">
        <f t="shared" si="3"/>
        <v>963</v>
      </c>
      <c r="I12" s="3">
        <v>0.22</v>
      </c>
      <c r="J12" s="8">
        <f t="shared" si="4"/>
        <v>222</v>
      </c>
      <c r="K12" s="6">
        <v>212</v>
      </c>
    </row>
    <row r="13" spans="2:11" x14ac:dyDescent="0.25">
      <c r="B13" s="1" t="s">
        <v>10</v>
      </c>
      <c r="C13" s="1" t="s">
        <v>25</v>
      </c>
      <c r="D13" s="2">
        <f t="shared" si="0"/>
        <v>4119.4412999999995</v>
      </c>
      <c r="E13" s="2">
        <f t="shared" si="5"/>
        <v>3.0536999999999996</v>
      </c>
      <c r="F13" s="1">
        <f t="shared" si="1"/>
        <v>1349</v>
      </c>
      <c r="G13" s="1">
        <f t="shared" si="2"/>
        <v>1147</v>
      </c>
      <c r="H13" s="1">
        <f t="shared" si="3"/>
        <v>1247</v>
      </c>
      <c r="I13" s="3">
        <v>0.21</v>
      </c>
      <c r="J13" s="8">
        <f t="shared" si="4"/>
        <v>275</v>
      </c>
      <c r="K13" s="6">
        <v>262</v>
      </c>
    </row>
    <row r="14" spans="2:11" x14ac:dyDescent="0.25">
      <c r="B14" s="1" t="s">
        <v>11</v>
      </c>
      <c r="C14" s="1" t="s">
        <v>25</v>
      </c>
      <c r="D14" s="2">
        <f t="shared" si="0"/>
        <v>4479.1949999999997</v>
      </c>
      <c r="E14" s="2">
        <f t="shared" si="5"/>
        <v>3.0449999999999999</v>
      </c>
      <c r="F14" s="1">
        <f t="shared" si="1"/>
        <v>1471</v>
      </c>
      <c r="G14" s="1">
        <f t="shared" si="2"/>
        <v>1251</v>
      </c>
      <c r="H14" s="1">
        <f t="shared" si="3"/>
        <v>1360</v>
      </c>
      <c r="I14" s="3">
        <v>0.2</v>
      </c>
      <c r="J14" s="8">
        <f t="shared" si="4"/>
        <v>285</v>
      </c>
      <c r="K14" s="6">
        <v>272</v>
      </c>
    </row>
    <row r="15" spans="2:11" x14ac:dyDescent="0.25">
      <c r="B15" s="1" t="s">
        <v>12</v>
      </c>
      <c r="C15" s="1" t="s">
        <v>25</v>
      </c>
      <c r="D15" s="2">
        <f t="shared" si="0"/>
        <v>3982.86</v>
      </c>
      <c r="E15" s="2">
        <f t="shared" si="5"/>
        <v>3.0449999999999999</v>
      </c>
      <c r="F15" s="1">
        <f t="shared" si="1"/>
        <v>1308</v>
      </c>
      <c r="G15" s="1">
        <f t="shared" si="2"/>
        <v>1112</v>
      </c>
      <c r="H15" s="1">
        <f t="shared" si="3"/>
        <v>1209</v>
      </c>
      <c r="I15" s="3">
        <v>0.22</v>
      </c>
      <c r="J15" s="8">
        <f t="shared" si="4"/>
        <v>279</v>
      </c>
      <c r="K15" s="6">
        <v>266</v>
      </c>
    </row>
    <row r="19" spans="2:16" x14ac:dyDescent="0.25">
      <c r="B19" t="s">
        <v>28</v>
      </c>
    </row>
    <row r="20" spans="2:16" x14ac:dyDescent="0.25">
      <c r="B20" s="1" t="s">
        <v>13</v>
      </c>
      <c r="C20" s="1" t="s">
        <v>24</v>
      </c>
      <c r="D20" s="1" t="s">
        <v>16</v>
      </c>
      <c r="E20" s="1" t="s">
        <v>14</v>
      </c>
      <c r="F20" s="1" t="s">
        <v>15</v>
      </c>
      <c r="G20" s="1" t="s">
        <v>17</v>
      </c>
      <c r="H20" s="1" t="s">
        <v>18</v>
      </c>
      <c r="I20" s="1" t="s">
        <v>19</v>
      </c>
      <c r="J20" s="1" t="s">
        <v>20</v>
      </c>
      <c r="K20" s="1" t="s">
        <v>31</v>
      </c>
    </row>
    <row r="21" spans="2:16" x14ac:dyDescent="0.25">
      <c r="B21" s="5" t="s">
        <v>1</v>
      </c>
      <c r="C21" s="1" t="s">
        <v>26</v>
      </c>
      <c r="D21" s="2">
        <f t="shared" ref="D21:D32" si="6">E21*F21</f>
        <v>10</v>
      </c>
      <c r="E21" s="2">
        <v>2.5</v>
      </c>
      <c r="F21" s="1">
        <f t="shared" ref="F21:F32" si="7">INT(G21/0.85)</f>
        <v>4</v>
      </c>
      <c r="G21" s="1">
        <f>INT(0.92*H21)</f>
        <v>4</v>
      </c>
      <c r="H21" s="1">
        <f>INT(K21/I21)</f>
        <v>5</v>
      </c>
      <c r="I21" s="3">
        <v>0.2</v>
      </c>
      <c r="J21" s="8">
        <f>INT(K21*1.05)</f>
        <v>1</v>
      </c>
      <c r="K21" s="1">
        <v>1</v>
      </c>
      <c r="N21" s="11"/>
    </row>
    <row r="22" spans="2:16" x14ac:dyDescent="0.25">
      <c r="B22" s="5" t="s">
        <v>2</v>
      </c>
      <c r="C22" s="1" t="s">
        <v>26</v>
      </c>
      <c r="D22" s="2">
        <f t="shared" si="6"/>
        <v>244.79999999999998</v>
      </c>
      <c r="E22" s="2">
        <v>2.5499999999999998</v>
      </c>
      <c r="F22" s="1">
        <f t="shared" si="7"/>
        <v>96</v>
      </c>
      <c r="G22" s="1">
        <f t="shared" ref="G22:G32" si="8">INT(0.92*H22)</f>
        <v>82</v>
      </c>
      <c r="H22" s="1">
        <f t="shared" ref="H22:H32" si="9">INT(K22/I22)</f>
        <v>90</v>
      </c>
      <c r="I22" s="3">
        <v>0.21</v>
      </c>
      <c r="J22" s="8">
        <f t="shared" ref="J22:J32" si="10">INT(K22*1.05)</f>
        <v>19</v>
      </c>
      <c r="K22" s="1">
        <v>19</v>
      </c>
      <c r="M22" t="s">
        <v>75</v>
      </c>
      <c r="N22" t="s">
        <v>76</v>
      </c>
      <c r="O22" t="s">
        <v>14</v>
      </c>
      <c r="P22" t="s">
        <v>77</v>
      </c>
    </row>
    <row r="23" spans="2:16" x14ac:dyDescent="0.25">
      <c r="B23" s="5" t="s">
        <v>3</v>
      </c>
      <c r="C23" s="1" t="s">
        <v>26</v>
      </c>
      <c r="D23" s="2">
        <f t="shared" si="6"/>
        <v>20.16</v>
      </c>
      <c r="E23" s="2">
        <v>2.52</v>
      </c>
      <c r="F23" s="1">
        <f t="shared" si="7"/>
        <v>8</v>
      </c>
      <c r="G23" s="1">
        <f t="shared" si="8"/>
        <v>7</v>
      </c>
      <c r="H23" s="1">
        <f t="shared" si="9"/>
        <v>8</v>
      </c>
      <c r="I23" s="3">
        <v>0.24</v>
      </c>
      <c r="J23" s="8">
        <f t="shared" si="10"/>
        <v>2</v>
      </c>
      <c r="K23" s="1">
        <v>2</v>
      </c>
      <c r="M23" s="10">
        <v>0</v>
      </c>
      <c r="N23" s="10">
        <v>0</v>
      </c>
      <c r="O23" s="9">
        <v>3.5</v>
      </c>
      <c r="P23" s="10">
        <v>0.2</v>
      </c>
    </row>
    <row r="24" spans="2:16" x14ac:dyDescent="0.25">
      <c r="B24" s="5" t="s">
        <v>4</v>
      </c>
      <c r="C24" s="1" t="s">
        <v>26</v>
      </c>
      <c r="D24" s="2">
        <f t="shared" si="6"/>
        <v>66</v>
      </c>
      <c r="E24" s="2">
        <v>3</v>
      </c>
      <c r="F24" s="1">
        <f t="shared" si="7"/>
        <v>22</v>
      </c>
      <c r="G24" s="1">
        <f t="shared" si="8"/>
        <v>19</v>
      </c>
      <c r="H24" s="1">
        <f t="shared" si="9"/>
        <v>21</v>
      </c>
      <c r="I24" s="3">
        <v>0.23</v>
      </c>
      <c r="J24" s="8">
        <f t="shared" si="10"/>
        <v>5</v>
      </c>
      <c r="K24" s="1">
        <v>5</v>
      </c>
      <c r="M24" s="10">
        <v>0.2</v>
      </c>
      <c r="N24" s="10">
        <v>0.05</v>
      </c>
      <c r="O24" s="9">
        <f>O23*1.05</f>
        <v>3.6750000000000003</v>
      </c>
      <c r="P24" s="10">
        <v>0.4</v>
      </c>
    </row>
    <row r="25" spans="2:16" x14ac:dyDescent="0.25">
      <c r="B25" s="5" t="s">
        <v>5</v>
      </c>
      <c r="C25" s="1" t="s">
        <v>26</v>
      </c>
      <c r="D25" s="2">
        <f t="shared" si="6"/>
        <v>64.399999999999991</v>
      </c>
      <c r="E25" s="2">
        <v>2.8</v>
      </c>
      <c r="F25" s="1">
        <f t="shared" si="7"/>
        <v>23</v>
      </c>
      <c r="G25" s="1">
        <f t="shared" si="8"/>
        <v>20</v>
      </c>
      <c r="H25" s="1">
        <f t="shared" si="9"/>
        <v>22</v>
      </c>
      <c r="I25" s="3">
        <v>0.22</v>
      </c>
      <c r="J25" s="8">
        <f t="shared" si="10"/>
        <v>5</v>
      </c>
      <c r="K25" s="1">
        <v>5</v>
      </c>
      <c r="M25" s="10">
        <v>0.6</v>
      </c>
      <c r="N25" s="10">
        <v>0.1</v>
      </c>
      <c r="O25" s="9">
        <f>O23*1.01</f>
        <v>3.5350000000000001</v>
      </c>
      <c r="P25" s="10">
        <v>0.3</v>
      </c>
    </row>
    <row r="26" spans="2:16" x14ac:dyDescent="0.25">
      <c r="B26" s="5" t="s">
        <v>6</v>
      </c>
      <c r="C26" s="1" t="s">
        <v>26</v>
      </c>
      <c r="D26" s="2">
        <f t="shared" si="6"/>
        <v>83.7</v>
      </c>
      <c r="E26" s="2">
        <v>2.7</v>
      </c>
      <c r="F26" s="1">
        <f t="shared" si="7"/>
        <v>31</v>
      </c>
      <c r="G26" s="1">
        <f t="shared" si="8"/>
        <v>27</v>
      </c>
      <c r="H26" s="1">
        <f t="shared" si="9"/>
        <v>30</v>
      </c>
      <c r="I26" s="3">
        <v>0.2</v>
      </c>
      <c r="J26" s="8">
        <f t="shared" si="10"/>
        <v>6</v>
      </c>
      <c r="K26" s="1">
        <v>6</v>
      </c>
      <c r="M26" s="10">
        <v>0.9</v>
      </c>
      <c r="N26" s="10">
        <v>0.15</v>
      </c>
      <c r="O26" s="9">
        <f>O23*1.15</f>
        <v>4.0249999999999995</v>
      </c>
      <c r="P26" s="10">
        <v>0.1</v>
      </c>
    </row>
    <row r="27" spans="2:16" x14ac:dyDescent="0.25">
      <c r="B27" s="5" t="s">
        <v>7</v>
      </c>
      <c r="C27" s="1" t="s">
        <v>26</v>
      </c>
      <c r="D27" s="2">
        <f t="shared" si="6"/>
        <v>52.8</v>
      </c>
      <c r="E27" s="2">
        <v>2.4</v>
      </c>
      <c r="F27" s="1">
        <f t="shared" si="7"/>
        <v>22</v>
      </c>
      <c r="G27" s="1">
        <f t="shared" si="8"/>
        <v>19</v>
      </c>
      <c r="H27" s="1">
        <f t="shared" si="9"/>
        <v>21</v>
      </c>
      <c r="I27" s="3">
        <v>0.23</v>
      </c>
      <c r="J27" s="8">
        <f t="shared" si="10"/>
        <v>5</v>
      </c>
      <c r="K27" s="1">
        <v>5</v>
      </c>
      <c r="M27" s="10">
        <v>1</v>
      </c>
      <c r="N27" s="10"/>
      <c r="O27" s="9"/>
    </row>
    <row r="28" spans="2:16" x14ac:dyDescent="0.25">
      <c r="B28" s="5" t="s">
        <v>8</v>
      </c>
      <c r="C28" s="1" t="s">
        <v>26</v>
      </c>
      <c r="D28" s="2">
        <f t="shared" si="6"/>
        <v>181.5</v>
      </c>
      <c r="E28" s="2">
        <v>3.3</v>
      </c>
      <c r="F28" s="1">
        <f t="shared" si="7"/>
        <v>55</v>
      </c>
      <c r="G28" s="1">
        <f t="shared" si="8"/>
        <v>47</v>
      </c>
      <c r="H28" s="1">
        <f t="shared" si="9"/>
        <v>52</v>
      </c>
      <c r="I28" s="3">
        <v>0.21</v>
      </c>
      <c r="J28" s="8">
        <f t="shared" si="10"/>
        <v>11</v>
      </c>
      <c r="K28" s="1">
        <v>11</v>
      </c>
    </row>
    <row r="29" spans="2:16" x14ac:dyDescent="0.25">
      <c r="B29" s="5" t="s">
        <v>9</v>
      </c>
      <c r="C29" s="1" t="s">
        <v>26</v>
      </c>
      <c r="D29" s="2">
        <f t="shared" si="6"/>
        <v>261</v>
      </c>
      <c r="E29" s="2">
        <v>3</v>
      </c>
      <c r="F29" s="1">
        <f t="shared" si="7"/>
        <v>87</v>
      </c>
      <c r="G29" s="1">
        <f t="shared" si="8"/>
        <v>74</v>
      </c>
      <c r="H29" s="1">
        <f t="shared" si="9"/>
        <v>81</v>
      </c>
      <c r="I29" s="3">
        <v>0.22</v>
      </c>
      <c r="J29" s="8">
        <f t="shared" si="10"/>
        <v>18</v>
      </c>
      <c r="K29" s="1">
        <v>18</v>
      </c>
      <c r="M29" t="s">
        <v>78</v>
      </c>
      <c r="N29">
        <f ca="1">VLOOKUP(RAND(),M23:P27,3,TRUE)</f>
        <v>4.0249999999999995</v>
      </c>
    </row>
    <row r="30" spans="2:16" x14ac:dyDescent="0.25">
      <c r="B30" s="5" t="s">
        <v>10</v>
      </c>
      <c r="C30" s="1" t="s">
        <v>26</v>
      </c>
      <c r="D30" s="2">
        <f t="shared" si="6"/>
        <v>284.31</v>
      </c>
      <c r="E30" s="2">
        <v>3.51</v>
      </c>
      <c r="F30" s="1">
        <f t="shared" si="7"/>
        <v>81</v>
      </c>
      <c r="G30" s="1">
        <f t="shared" si="8"/>
        <v>69</v>
      </c>
      <c r="H30" s="1">
        <f t="shared" si="9"/>
        <v>76</v>
      </c>
      <c r="I30" s="3">
        <v>0.21</v>
      </c>
      <c r="J30" s="8">
        <f t="shared" si="10"/>
        <v>16</v>
      </c>
      <c r="K30" s="1">
        <v>16</v>
      </c>
    </row>
    <row r="31" spans="2:16" x14ac:dyDescent="0.25">
      <c r="B31" s="5" t="s">
        <v>11</v>
      </c>
      <c r="C31" s="1" t="s">
        <v>26</v>
      </c>
      <c r="D31" s="2">
        <f t="shared" si="6"/>
        <v>357</v>
      </c>
      <c r="E31" s="2">
        <v>3.5</v>
      </c>
      <c r="F31" s="1">
        <f t="shared" si="7"/>
        <v>102</v>
      </c>
      <c r="G31" s="1">
        <f t="shared" si="8"/>
        <v>87</v>
      </c>
      <c r="H31" s="1">
        <f t="shared" si="9"/>
        <v>95</v>
      </c>
      <c r="I31" s="3">
        <v>0.2</v>
      </c>
      <c r="J31" s="8">
        <f t="shared" si="10"/>
        <v>19</v>
      </c>
      <c r="K31" s="1">
        <v>19</v>
      </c>
    </row>
    <row r="32" spans="2:16" x14ac:dyDescent="0.25">
      <c r="B32" s="5" t="s">
        <v>12</v>
      </c>
      <c r="C32" s="1" t="s">
        <v>26</v>
      </c>
      <c r="D32" s="2">
        <f t="shared" si="6"/>
        <v>189</v>
      </c>
      <c r="E32" s="2">
        <v>3.5</v>
      </c>
      <c r="F32" s="1">
        <f t="shared" si="7"/>
        <v>54</v>
      </c>
      <c r="G32" s="1">
        <f t="shared" si="8"/>
        <v>46</v>
      </c>
      <c r="H32" s="1">
        <f t="shared" si="9"/>
        <v>50</v>
      </c>
      <c r="I32" s="3">
        <v>0.22</v>
      </c>
      <c r="J32" s="8">
        <f t="shared" si="10"/>
        <v>11</v>
      </c>
      <c r="K32" s="1">
        <v>11</v>
      </c>
    </row>
    <row r="35" spans="2:11" x14ac:dyDescent="0.25">
      <c r="B35" s="7" t="s">
        <v>29</v>
      </c>
    </row>
    <row r="36" spans="2:11" x14ac:dyDescent="0.25">
      <c r="B36" s="1" t="s">
        <v>13</v>
      </c>
      <c r="C36" s="1" t="s">
        <v>24</v>
      </c>
      <c r="D36" s="1" t="s">
        <v>16</v>
      </c>
      <c r="E36" s="1" t="s">
        <v>14</v>
      </c>
      <c r="F36" s="1" t="s">
        <v>15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31</v>
      </c>
    </row>
    <row r="37" spans="2:11" x14ac:dyDescent="0.25">
      <c r="B37" s="5" t="s">
        <v>1</v>
      </c>
      <c r="C37" s="1" t="s">
        <v>30</v>
      </c>
      <c r="D37" s="2">
        <f t="shared" ref="D37:D48" si="11">E37*F37</f>
        <v>0</v>
      </c>
      <c r="E37" s="2">
        <f>E4*1.35</f>
        <v>0</v>
      </c>
      <c r="F37" s="1">
        <f t="shared" ref="F37:F48" si="12">INT(G37/0.85)</f>
        <v>0</v>
      </c>
      <c r="G37" s="1">
        <f>INT(0.92*H37)</f>
        <v>0</v>
      </c>
      <c r="H37" s="1">
        <f>INT(K37/I37)</f>
        <v>0</v>
      </c>
      <c r="I37" s="3">
        <v>0.2</v>
      </c>
      <c r="J37" s="8">
        <f>INT(K37*1.05)</f>
        <v>0</v>
      </c>
      <c r="K37" s="1">
        <v>0</v>
      </c>
    </row>
    <row r="38" spans="2:11" x14ac:dyDescent="0.25">
      <c r="B38" s="5" t="s">
        <v>2</v>
      </c>
      <c r="C38" s="1" t="s">
        <v>30</v>
      </c>
      <c r="D38" s="2">
        <f t="shared" si="11"/>
        <v>41.929649999999995</v>
      </c>
      <c r="E38" s="2">
        <f t="shared" ref="E38:E48" si="13">E5*1.35</f>
        <v>2.9949749999999997</v>
      </c>
      <c r="F38" s="1">
        <f t="shared" si="12"/>
        <v>14</v>
      </c>
      <c r="G38" s="1">
        <f t="shared" ref="G38:G48" si="14">INT(0.92*H38)</f>
        <v>12</v>
      </c>
      <c r="H38" s="1">
        <f t="shared" ref="H38:H48" si="15">INT(K38/I38)</f>
        <v>14</v>
      </c>
      <c r="I38" s="3">
        <v>0.21</v>
      </c>
      <c r="J38" s="8">
        <f t="shared" ref="J38:J48" si="16">INT(K38*1.05)</f>
        <v>3</v>
      </c>
      <c r="K38" s="6">
        <v>3</v>
      </c>
    </row>
    <row r="39" spans="2:11" x14ac:dyDescent="0.25">
      <c r="B39" s="5" t="s">
        <v>3</v>
      </c>
      <c r="C39" s="1" t="s">
        <v>30</v>
      </c>
      <c r="D39" s="2">
        <f t="shared" si="11"/>
        <v>23.677920000000004</v>
      </c>
      <c r="E39" s="2">
        <f t="shared" si="13"/>
        <v>2.9597400000000005</v>
      </c>
      <c r="F39" s="1">
        <f t="shared" si="12"/>
        <v>8</v>
      </c>
      <c r="G39" s="1">
        <f t="shared" si="14"/>
        <v>7</v>
      </c>
      <c r="H39" s="1">
        <f t="shared" si="15"/>
        <v>8</v>
      </c>
      <c r="I39" s="3">
        <v>0.24</v>
      </c>
      <c r="J39" s="8">
        <f t="shared" si="16"/>
        <v>2</v>
      </c>
      <c r="K39" s="6">
        <v>2</v>
      </c>
    </row>
    <row r="40" spans="2:11" x14ac:dyDescent="0.25">
      <c r="B40" s="5" t="s">
        <v>4</v>
      </c>
      <c r="C40" s="1" t="s">
        <v>30</v>
      </c>
      <c r="D40" s="2">
        <f t="shared" si="11"/>
        <v>59.899499999999996</v>
      </c>
      <c r="E40" s="2">
        <f t="shared" si="13"/>
        <v>3.5234999999999999</v>
      </c>
      <c r="F40" s="1">
        <f t="shared" si="12"/>
        <v>17</v>
      </c>
      <c r="G40" s="1">
        <f t="shared" si="14"/>
        <v>15</v>
      </c>
      <c r="H40" s="1">
        <f t="shared" si="15"/>
        <v>17</v>
      </c>
      <c r="I40" s="3">
        <v>0.23</v>
      </c>
      <c r="J40" s="8">
        <f t="shared" si="16"/>
        <v>4</v>
      </c>
      <c r="K40" s="6">
        <v>4</v>
      </c>
    </row>
    <row r="41" spans="2:11" x14ac:dyDescent="0.25">
      <c r="B41" s="5" t="s">
        <v>5</v>
      </c>
      <c r="C41" s="1" t="s">
        <v>30</v>
      </c>
      <c r="D41" s="2">
        <f t="shared" si="11"/>
        <v>177.58440000000002</v>
      </c>
      <c r="E41" s="2">
        <f t="shared" si="13"/>
        <v>3.2886000000000002</v>
      </c>
      <c r="F41" s="1">
        <f t="shared" si="12"/>
        <v>54</v>
      </c>
      <c r="G41" s="1">
        <f t="shared" si="14"/>
        <v>46</v>
      </c>
      <c r="H41" s="1">
        <f t="shared" si="15"/>
        <v>50</v>
      </c>
      <c r="I41" s="3">
        <v>0.22</v>
      </c>
      <c r="J41" s="8">
        <f t="shared" si="16"/>
        <v>11</v>
      </c>
      <c r="K41" s="6">
        <v>11</v>
      </c>
    </row>
    <row r="42" spans="2:11" x14ac:dyDescent="0.25">
      <c r="B42" s="5" t="s">
        <v>6</v>
      </c>
      <c r="C42" s="1" t="s">
        <v>30</v>
      </c>
      <c r="D42" s="2">
        <f t="shared" si="11"/>
        <v>47.567250000000008</v>
      </c>
      <c r="E42" s="2">
        <f t="shared" si="13"/>
        <v>3.1711500000000004</v>
      </c>
      <c r="F42" s="1">
        <f t="shared" si="12"/>
        <v>15</v>
      </c>
      <c r="G42" s="1">
        <f t="shared" si="14"/>
        <v>13</v>
      </c>
      <c r="H42" s="1">
        <f t="shared" si="15"/>
        <v>15</v>
      </c>
      <c r="I42" s="3">
        <v>0.2</v>
      </c>
      <c r="J42" s="8">
        <f t="shared" si="16"/>
        <v>3</v>
      </c>
      <c r="K42" s="6">
        <v>3</v>
      </c>
    </row>
    <row r="43" spans="2:11" x14ac:dyDescent="0.25">
      <c r="B43" s="5" t="s">
        <v>7</v>
      </c>
      <c r="C43" s="1" t="s">
        <v>30</v>
      </c>
      <c r="D43" s="2">
        <f t="shared" si="11"/>
        <v>8.4564000000000021</v>
      </c>
      <c r="E43" s="2">
        <f t="shared" si="13"/>
        <v>2.8188000000000004</v>
      </c>
      <c r="F43" s="1">
        <f t="shared" si="12"/>
        <v>3</v>
      </c>
      <c r="G43" s="1">
        <f t="shared" si="14"/>
        <v>3</v>
      </c>
      <c r="H43" s="1">
        <f t="shared" si="15"/>
        <v>4</v>
      </c>
      <c r="I43" s="3">
        <v>0.23</v>
      </c>
      <c r="J43" s="8">
        <f t="shared" si="16"/>
        <v>1</v>
      </c>
      <c r="K43" s="6">
        <v>1</v>
      </c>
    </row>
    <row r="44" spans="2:11" x14ac:dyDescent="0.25">
      <c r="B44" s="5" t="s">
        <v>8</v>
      </c>
      <c r="C44" s="1" t="s">
        <v>30</v>
      </c>
      <c r="D44" s="2">
        <f t="shared" si="11"/>
        <v>135.65475000000001</v>
      </c>
      <c r="E44" s="2">
        <f t="shared" si="13"/>
        <v>3.8758500000000002</v>
      </c>
      <c r="F44" s="1">
        <f t="shared" si="12"/>
        <v>35</v>
      </c>
      <c r="G44" s="1">
        <f t="shared" si="14"/>
        <v>30</v>
      </c>
      <c r="H44" s="1">
        <f t="shared" si="15"/>
        <v>33</v>
      </c>
      <c r="I44" s="3">
        <v>0.21</v>
      </c>
      <c r="J44" s="8">
        <f t="shared" si="16"/>
        <v>7</v>
      </c>
      <c r="K44" s="6">
        <v>7</v>
      </c>
    </row>
    <row r="45" spans="2:11" x14ac:dyDescent="0.25">
      <c r="B45" s="5" t="s">
        <v>9</v>
      </c>
      <c r="C45" s="1" t="s">
        <v>30</v>
      </c>
      <c r="D45" s="2">
        <f t="shared" si="11"/>
        <v>81.040499999999994</v>
      </c>
      <c r="E45" s="2">
        <f t="shared" si="13"/>
        <v>3.5234999999999999</v>
      </c>
      <c r="F45" s="1">
        <f t="shared" si="12"/>
        <v>23</v>
      </c>
      <c r="G45" s="1">
        <f t="shared" si="14"/>
        <v>20</v>
      </c>
      <c r="H45" s="1">
        <f t="shared" si="15"/>
        <v>22</v>
      </c>
      <c r="I45" s="3">
        <v>0.22</v>
      </c>
      <c r="J45" s="8">
        <f t="shared" si="16"/>
        <v>5</v>
      </c>
      <c r="K45" s="6">
        <v>5</v>
      </c>
    </row>
    <row r="46" spans="2:11" x14ac:dyDescent="0.25">
      <c r="B46" s="5" t="s">
        <v>10</v>
      </c>
      <c r="C46" s="1" t="s">
        <v>30</v>
      </c>
      <c r="D46" s="2">
        <f t="shared" si="11"/>
        <v>164.8998</v>
      </c>
      <c r="E46" s="2">
        <f t="shared" si="13"/>
        <v>4.1224949999999998</v>
      </c>
      <c r="F46" s="1">
        <f t="shared" si="12"/>
        <v>40</v>
      </c>
      <c r="G46" s="1">
        <f t="shared" si="14"/>
        <v>34</v>
      </c>
      <c r="H46" s="1">
        <f t="shared" si="15"/>
        <v>38</v>
      </c>
      <c r="I46" s="3">
        <v>0.21</v>
      </c>
      <c r="J46" s="8">
        <f t="shared" si="16"/>
        <v>8</v>
      </c>
      <c r="K46" s="6">
        <v>8</v>
      </c>
    </row>
    <row r="47" spans="2:11" x14ac:dyDescent="0.25">
      <c r="B47" s="5" t="s">
        <v>11</v>
      </c>
      <c r="C47" s="1" t="s">
        <v>30</v>
      </c>
      <c r="D47" s="2">
        <f t="shared" si="11"/>
        <v>263.08800000000002</v>
      </c>
      <c r="E47" s="2">
        <f t="shared" si="13"/>
        <v>4.1107500000000003</v>
      </c>
      <c r="F47" s="1">
        <f t="shared" si="12"/>
        <v>64</v>
      </c>
      <c r="G47" s="1">
        <f t="shared" si="14"/>
        <v>55</v>
      </c>
      <c r="H47" s="1">
        <f t="shared" si="15"/>
        <v>60</v>
      </c>
      <c r="I47" s="3">
        <v>0.2</v>
      </c>
      <c r="J47" s="8">
        <f t="shared" si="16"/>
        <v>12</v>
      </c>
      <c r="K47" s="6">
        <v>12</v>
      </c>
    </row>
    <row r="48" spans="2:11" x14ac:dyDescent="0.25">
      <c r="B48" s="5" t="s">
        <v>12</v>
      </c>
      <c r="C48" s="1" t="s">
        <v>30</v>
      </c>
      <c r="D48" s="2">
        <f t="shared" si="11"/>
        <v>172.65150000000003</v>
      </c>
      <c r="E48" s="2">
        <f t="shared" si="13"/>
        <v>4.1107500000000003</v>
      </c>
      <c r="F48" s="1">
        <f t="shared" si="12"/>
        <v>42</v>
      </c>
      <c r="G48" s="1">
        <f t="shared" si="14"/>
        <v>36</v>
      </c>
      <c r="H48" s="1">
        <f t="shared" si="15"/>
        <v>40</v>
      </c>
      <c r="I48" s="3">
        <v>0.22</v>
      </c>
      <c r="J48" s="8">
        <f t="shared" si="16"/>
        <v>9</v>
      </c>
      <c r="K48" s="6">
        <v>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63DB-7ADF-B942-85D6-45506C0D4794}">
  <dimension ref="B2:Z23"/>
  <sheetViews>
    <sheetView showGridLines="0" topLeftCell="K23" zoomScale="70" zoomScaleNormal="70" workbookViewId="0">
      <selection activeCell="B13" sqref="B13"/>
    </sheetView>
  </sheetViews>
  <sheetFormatPr defaultColWidth="11" defaultRowHeight="15.75" outlineLevelCol="1" x14ac:dyDescent="0.25"/>
  <cols>
    <col min="1" max="1" width="3.375" customWidth="1"/>
    <col min="2" max="2" width="25" customWidth="1"/>
    <col min="3" max="3" width="11.125" hidden="1" customWidth="1" outlineLevel="1"/>
    <col min="4" max="6" width="11.875" hidden="1" customWidth="1" outlineLevel="1"/>
    <col min="7" max="7" width="13.375" hidden="1" customWidth="1" outlineLevel="1"/>
    <col min="8" max="9" width="11.875" hidden="1" customWidth="1" outlineLevel="1"/>
    <col min="10" max="10" width="13.375" hidden="1" customWidth="1" outlineLevel="1"/>
    <col min="11" max="11" width="13.375" bestFit="1" customWidth="1" collapsed="1"/>
    <col min="12" max="14" width="13.375" bestFit="1" customWidth="1"/>
  </cols>
  <sheetData>
    <row r="2" spans="2:26" x14ac:dyDescent="0.25">
      <c r="B2" s="38" t="s">
        <v>97</v>
      </c>
    </row>
    <row r="4" spans="2:26" ht="26.25" x14ac:dyDescent="0.4">
      <c r="B4" s="51" t="s">
        <v>36</v>
      </c>
    </row>
    <row r="5" spans="2:26" x14ac:dyDescent="0.25">
      <c r="B5" s="39"/>
    </row>
    <row r="6" spans="2:26" hidden="1" x14ac:dyDescent="0.25">
      <c r="C6">
        <v>1</v>
      </c>
      <c r="D6">
        <f>C6+1</f>
        <v>2</v>
      </c>
      <c r="E6">
        <f>D6+1</f>
        <v>3</v>
      </c>
      <c r="F6">
        <f t="shared" ref="F6:Z6" si="0">E6+1</f>
        <v>4</v>
      </c>
      <c r="G6">
        <f t="shared" si="0"/>
        <v>5</v>
      </c>
      <c r="H6">
        <f t="shared" si="0"/>
        <v>6</v>
      </c>
      <c r="I6">
        <f t="shared" si="0"/>
        <v>7</v>
      </c>
      <c r="J6">
        <f t="shared" si="0"/>
        <v>8</v>
      </c>
      <c r="K6">
        <f t="shared" si="0"/>
        <v>9</v>
      </c>
      <c r="L6">
        <f t="shared" si="0"/>
        <v>10</v>
      </c>
      <c r="M6">
        <f t="shared" si="0"/>
        <v>11</v>
      </c>
      <c r="N6">
        <f t="shared" si="0"/>
        <v>12</v>
      </c>
      <c r="O6">
        <f t="shared" si="0"/>
        <v>13</v>
      </c>
      <c r="P6">
        <f t="shared" si="0"/>
        <v>14</v>
      </c>
      <c r="Q6">
        <f t="shared" si="0"/>
        <v>15</v>
      </c>
      <c r="R6">
        <f t="shared" si="0"/>
        <v>16</v>
      </c>
      <c r="S6">
        <f t="shared" si="0"/>
        <v>17</v>
      </c>
      <c r="T6">
        <f t="shared" si="0"/>
        <v>18</v>
      </c>
      <c r="U6">
        <f t="shared" si="0"/>
        <v>19</v>
      </c>
      <c r="V6">
        <f t="shared" si="0"/>
        <v>20</v>
      </c>
      <c r="W6">
        <f t="shared" si="0"/>
        <v>21</v>
      </c>
      <c r="X6">
        <f t="shared" si="0"/>
        <v>22</v>
      </c>
      <c r="Y6">
        <f t="shared" si="0"/>
        <v>23</v>
      </c>
      <c r="Z6">
        <f t="shared" si="0"/>
        <v>24</v>
      </c>
    </row>
    <row r="7" spans="2:26" x14ac:dyDescent="0.25">
      <c r="C7" s="50">
        <v>42887</v>
      </c>
      <c r="D7" s="50">
        <f>EOMONTH(C7,1)</f>
        <v>42947</v>
      </c>
      <c r="E7" s="50">
        <f t="shared" ref="E7:J7" si="1">EOMONTH(D7,1)</f>
        <v>42978</v>
      </c>
      <c r="F7" s="50">
        <f t="shared" si="1"/>
        <v>43008</v>
      </c>
      <c r="G7" s="50">
        <f t="shared" si="1"/>
        <v>43039</v>
      </c>
      <c r="H7" s="50">
        <f t="shared" si="1"/>
        <v>43069</v>
      </c>
      <c r="I7" s="50">
        <f t="shared" si="1"/>
        <v>43100</v>
      </c>
      <c r="J7" s="50">
        <f t="shared" si="1"/>
        <v>43131</v>
      </c>
      <c r="K7" s="77">
        <f>EOMONTH(J7,1)</f>
        <v>43159</v>
      </c>
      <c r="L7" s="77">
        <f t="shared" ref="L7:N7" si="2">EOMONTH(K7,1)</f>
        <v>43190</v>
      </c>
      <c r="M7" s="77">
        <f t="shared" si="2"/>
        <v>43220</v>
      </c>
      <c r="N7" s="77">
        <f t="shared" si="2"/>
        <v>43251</v>
      </c>
      <c r="O7" s="77">
        <f t="shared" ref="O7" si="3">EOMONTH(N7,1)</f>
        <v>43281</v>
      </c>
      <c r="P7" s="77">
        <f t="shared" ref="P7" si="4">EOMONTH(O7,1)</f>
        <v>43312</v>
      </c>
      <c r="Q7" s="77">
        <f t="shared" ref="Q7" si="5">EOMONTH(P7,1)</f>
        <v>43343</v>
      </c>
      <c r="R7" s="77">
        <f t="shared" ref="R7" si="6">EOMONTH(Q7,1)</f>
        <v>43373</v>
      </c>
      <c r="S7" s="77">
        <f t="shared" ref="S7" si="7">EOMONTH(R7,1)</f>
        <v>43404</v>
      </c>
      <c r="T7" s="77">
        <f t="shared" ref="T7" si="8">EOMONTH(S7,1)</f>
        <v>43434</v>
      </c>
      <c r="U7" s="77">
        <f t="shared" ref="U7" si="9">EOMONTH(T7,1)</f>
        <v>43465</v>
      </c>
      <c r="V7" s="77">
        <f t="shared" ref="V7" si="10">EOMONTH(U7,1)</f>
        <v>43496</v>
      </c>
      <c r="W7" s="77">
        <f t="shared" ref="W7" si="11">EOMONTH(V7,1)</f>
        <v>43524</v>
      </c>
      <c r="X7" s="77">
        <f t="shared" ref="X7" si="12">EOMONTH(W7,1)</f>
        <v>43555</v>
      </c>
      <c r="Y7" s="77">
        <f t="shared" ref="Y7" si="13">EOMONTH(X7,1)</f>
        <v>43585</v>
      </c>
      <c r="Z7" s="77">
        <f t="shared" ref="Z7" si="14">EOMONTH(Y7,1)</f>
        <v>43616</v>
      </c>
    </row>
    <row r="9" spans="2:26" x14ac:dyDescent="0.25">
      <c r="B9" s="76" t="s">
        <v>37</v>
      </c>
    </row>
    <row r="11" spans="2:26" s="34" customFormat="1" x14ac:dyDescent="0.25">
      <c r="B11" s="56" t="s">
        <v>108</v>
      </c>
      <c r="C11" s="55" cm="1">
        <f t="array" ref="C11:N11">TRANSPOSE('Source- Trafego organico'!D4:D15)</f>
        <v>3</v>
      </c>
      <c r="D11" s="55">
        <v>61</v>
      </c>
      <c r="E11" s="55">
        <v>73</v>
      </c>
      <c r="F11" s="55">
        <v>72</v>
      </c>
      <c r="G11" s="55">
        <v>96</v>
      </c>
      <c r="H11" s="55">
        <v>126</v>
      </c>
      <c r="I11" s="55">
        <v>36</v>
      </c>
      <c r="J11" s="55">
        <v>206</v>
      </c>
      <c r="K11" s="55">
        <v>221</v>
      </c>
      <c r="L11" s="55">
        <v>248</v>
      </c>
      <c r="M11" s="55">
        <v>173</v>
      </c>
      <c r="N11" s="55">
        <v>306</v>
      </c>
      <c r="O11" s="56">
        <f>INT((O13/O12))</f>
        <v>284</v>
      </c>
      <c r="P11" s="56">
        <f t="shared" ref="P11:Z11" si="15">INT((P13/P12))</f>
        <v>303</v>
      </c>
      <c r="Q11" s="56">
        <f t="shared" si="15"/>
        <v>325</v>
      </c>
      <c r="R11" s="56">
        <f t="shared" si="15"/>
        <v>346</v>
      </c>
      <c r="S11" s="56">
        <f t="shared" si="15"/>
        <v>365</v>
      </c>
      <c r="T11" s="56">
        <f t="shared" si="15"/>
        <v>387</v>
      </c>
      <c r="U11" s="56">
        <f t="shared" si="15"/>
        <v>409</v>
      </c>
      <c r="V11" s="56">
        <f t="shared" si="15"/>
        <v>428</v>
      </c>
      <c r="W11" s="56">
        <f t="shared" si="15"/>
        <v>450</v>
      </c>
      <c r="X11" s="56">
        <f t="shared" si="15"/>
        <v>471</v>
      </c>
      <c r="Y11" s="56">
        <f t="shared" si="15"/>
        <v>490</v>
      </c>
      <c r="Z11" s="56">
        <f t="shared" si="15"/>
        <v>512</v>
      </c>
    </row>
    <row r="12" spans="2:26" x14ac:dyDescent="0.25">
      <c r="B12" s="1" t="s">
        <v>21</v>
      </c>
      <c r="C12" s="57" cm="1">
        <f t="array" ref="C12:N12">TRANSPOSE('Source- Trafego organico'!E4:E15)</f>
        <v>0.30000000000000004</v>
      </c>
      <c r="D12" s="57">
        <v>0.31</v>
      </c>
      <c r="E12" s="57">
        <v>0.33999999999999997</v>
      </c>
      <c r="F12" s="57">
        <v>0.33</v>
      </c>
      <c r="G12" s="57">
        <v>0.32</v>
      </c>
      <c r="H12" s="57">
        <v>0.30000000000000004</v>
      </c>
      <c r="I12" s="57">
        <v>0.33</v>
      </c>
      <c r="J12" s="57">
        <v>0.31</v>
      </c>
      <c r="K12" s="57">
        <v>0.32</v>
      </c>
      <c r="L12" s="57">
        <v>0.31</v>
      </c>
      <c r="M12" s="57">
        <v>0.30000000000000004</v>
      </c>
      <c r="N12" s="57">
        <v>0.32</v>
      </c>
      <c r="O12" s="64">
        <f>Suposições!$C$21</f>
        <v>0.32</v>
      </c>
      <c r="P12" s="3">
        <f>Suposições!$C$21</f>
        <v>0.32</v>
      </c>
      <c r="Q12" s="3">
        <f>Suposições!$C$21</f>
        <v>0.32</v>
      </c>
      <c r="R12" s="3">
        <f>Suposições!$C$21</f>
        <v>0.32</v>
      </c>
      <c r="S12" s="3">
        <f>Suposições!$C$21</f>
        <v>0.32</v>
      </c>
      <c r="T12" s="3">
        <f>Suposições!$C$21</f>
        <v>0.32</v>
      </c>
      <c r="U12" s="3">
        <f>Suposições!$C$21</f>
        <v>0.32</v>
      </c>
      <c r="V12" s="3">
        <f>Suposições!$C$21</f>
        <v>0.32</v>
      </c>
      <c r="W12" s="3">
        <f>Suposições!$C$21</f>
        <v>0.32</v>
      </c>
      <c r="X12" s="3">
        <f>Suposições!$C$21</f>
        <v>0.32</v>
      </c>
      <c r="Y12" s="3">
        <f>Suposições!$C$21</f>
        <v>0.32</v>
      </c>
      <c r="Z12" s="3">
        <f>Suposições!$C$21</f>
        <v>0.32</v>
      </c>
    </row>
    <row r="13" spans="2:26" s="33" customFormat="1" x14ac:dyDescent="0.25">
      <c r="B13" s="63" t="str">
        <f>SUBSTITUTE(CONCATENATE("Total leads",B9),"1.","")</f>
        <v>Total leads Email</v>
      </c>
      <c r="C13" s="71">
        <v>1</v>
      </c>
      <c r="D13" s="71">
        <v>19</v>
      </c>
      <c r="E13" s="71">
        <v>24</v>
      </c>
      <c r="F13" s="71">
        <v>23</v>
      </c>
      <c r="G13" s="71">
        <v>30</v>
      </c>
      <c r="H13" s="71">
        <v>37</v>
      </c>
      <c r="I13" s="71">
        <v>12</v>
      </c>
      <c r="J13" s="71">
        <v>61</v>
      </c>
      <c r="K13" s="71">
        <v>68</v>
      </c>
      <c r="L13" s="71">
        <v>74</v>
      </c>
      <c r="M13" s="71">
        <v>50</v>
      </c>
      <c r="N13" s="71">
        <v>94</v>
      </c>
      <c r="O13" s="72">
        <f>INT((Suposições!$C$18*'INPUTS Leads- Trafego organico'!O6)+Suposições!$C$19)</f>
        <v>91</v>
      </c>
      <c r="P13" s="63">
        <f>INT((Suposições!$C$18*'INPUTS Leads- Trafego organico'!P6)+Suposições!$C$19)</f>
        <v>97</v>
      </c>
      <c r="Q13" s="63">
        <f>INT((Suposições!$C$18*'INPUTS Leads- Trafego organico'!Q6)+Suposições!$C$19)</f>
        <v>104</v>
      </c>
      <c r="R13" s="63">
        <f>INT((Suposições!$C$18*'INPUTS Leads- Trafego organico'!R6)+Suposições!$C$19)</f>
        <v>111</v>
      </c>
      <c r="S13" s="63">
        <f>INT((Suposições!$C$18*'INPUTS Leads- Trafego organico'!S6)+Suposições!$C$19)</f>
        <v>117</v>
      </c>
      <c r="T13" s="63">
        <f>INT((Suposições!$C$18*'INPUTS Leads- Trafego organico'!T6)+Suposições!$C$19)</f>
        <v>124</v>
      </c>
      <c r="U13" s="63">
        <f>INT((Suposições!$C$18*'INPUTS Leads- Trafego organico'!U6)+Suposições!$C$19)</f>
        <v>131</v>
      </c>
      <c r="V13" s="63">
        <f>INT((Suposições!$C$18*'INPUTS Leads- Trafego organico'!V6)+Suposições!$C$19)</f>
        <v>137</v>
      </c>
      <c r="W13" s="63">
        <f>INT((Suposições!$C$18*'INPUTS Leads- Trafego organico'!W6)+Suposições!$C$19)</f>
        <v>144</v>
      </c>
      <c r="X13" s="63">
        <f>INT((Suposições!$C$18*'INPUTS Leads- Trafego organico'!X6)+Suposições!$C$19)</f>
        <v>151</v>
      </c>
      <c r="Y13" s="63">
        <f>INT((Suposições!$C$18*'INPUTS Leads- Trafego organico'!Y6)+Suposições!$C$19)</f>
        <v>157</v>
      </c>
      <c r="Z13" s="63">
        <f>INT((Suposições!$C$18*'INPUTS Leads- Trafego organico'!Z6)+Suposições!$C$19)</f>
        <v>164</v>
      </c>
    </row>
    <row r="15" spans="2:26" x14ac:dyDescent="0.25">
      <c r="B15" s="76" t="s">
        <v>71</v>
      </c>
    </row>
    <row r="17" spans="2:26" s="34" customFormat="1" x14ac:dyDescent="0.25">
      <c r="B17" s="56" t="s">
        <v>109</v>
      </c>
      <c r="C17" s="55" cm="1">
        <f t="array" ref="C17:N17">TRANSPOSE('Source- Trafego organico'!D21:D32)</f>
        <v>10</v>
      </c>
      <c r="D17" s="55">
        <v>709</v>
      </c>
      <c r="E17" s="55">
        <v>1216</v>
      </c>
      <c r="F17" s="55">
        <v>982</v>
      </c>
      <c r="G17" s="55">
        <v>1286</v>
      </c>
      <c r="H17" s="55">
        <v>1725</v>
      </c>
      <c r="I17" s="55">
        <v>669</v>
      </c>
      <c r="J17" s="55">
        <v>4457</v>
      </c>
      <c r="K17" s="55">
        <v>3459</v>
      </c>
      <c r="L17" s="55">
        <v>4066</v>
      </c>
      <c r="M17" s="55">
        <v>5240</v>
      </c>
      <c r="N17" s="55">
        <v>4404</v>
      </c>
      <c r="O17" s="56">
        <f>INT((O19/O18))</f>
        <v>5277</v>
      </c>
      <c r="P17" s="56">
        <f t="shared" ref="P17:Z17" si="16">INT((P19/P18))</f>
        <v>5690</v>
      </c>
      <c r="Q17" s="56">
        <f t="shared" si="16"/>
        <v>6104</v>
      </c>
      <c r="R17" s="56">
        <f t="shared" si="16"/>
        <v>6522</v>
      </c>
      <c r="S17" s="56">
        <f t="shared" si="16"/>
        <v>6936</v>
      </c>
      <c r="T17" s="56">
        <f t="shared" si="16"/>
        <v>7354</v>
      </c>
      <c r="U17" s="56">
        <f t="shared" si="16"/>
        <v>7768</v>
      </c>
      <c r="V17" s="56">
        <f t="shared" si="16"/>
        <v>8181</v>
      </c>
      <c r="W17" s="56">
        <f t="shared" si="16"/>
        <v>8600</v>
      </c>
      <c r="X17" s="56">
        <f t="shared" si="16"/>
        <v>9013</v>
      </c>
      <c r="Y17" s="56">
        <f t="shared" si="16"/>
        <v>9427</v>
      </c>
      <c r="Z17" s="56">
        <f t="shared" si="16"/>
        <v>9845</v>
      </c>
    </row>
    <row r="18" spans="2:26" x14ac:dyDescent="0.25">
      <c r="B18" s="1" t="s">
        <v>21</v>
      </c>
      <c r="C18" s="57" cm="1">
        <f t="array" ref="C18:N18">TRANSPOSE('Source- Trafego organico'!E21:E32)</f>
        <v>0.2</v>
      </c>
      <c r="D18" s="57">
        <v>0.21</v>
      </c>
      <c r="E18" s="57">
        <v>0.24</v>
      </c>
      <c r="F18" s="57">
        <v>0.23</v>
      </c>
      <c r="G18" s="57">
        <v>0.22</v>
      </c>
      <c r="H18" s="57">
        <v>0.2</v>
      </c>
      <c r="I18" s="57">
        <v>0.23</v>
      </c>
      <c r="J18" s="57">
        <v>0.21</v>
      </c>
      <c r="K18" s="57">
        <v>0.22</v>
      </c>
      <c r="L18" s="57">
        <v>0.21</v>
      </c>
      <c r="M18" s="57">
        <v>0.2</v>
      </c>
      <c r="N18" s="57">
        <v>0.22</v>
      </c>
      <c r="O18" s="64">
        <f>Suposições!$C$12</f>
        <v>0.22</v>
      </c>
      <c r="P18" s="3">
        <f>Suposições!$C$12</f>
        <v>0.22</v>
      </c>
      <c r="Q18" s="3">
        <f>Suposições!$C$12</f>
        <v>0.22</v>
      </c>
      <c r="R18" s="3">
        <f>Suposições!$C$12</f>
        <v>0.22</v>
      </c>
      <c r="S18" s="3">
        <f>Suposições!$C$12</f>
        <v>0.22</v>
      </c>
      <c r="T18" s="3">
        <f>Suposições!$C$12</f>
        <v>0.22</v>
      </c>
      <c r="U18" s="3">
        <f>Suposições!$C$12</f>
        <v>0.22</v>
      </c>
      <c r="V18" s="3">
        <f>Suposições!$C$12</f>
        <v>0.22</v>
      </c>
      <c r="W18" s="3">
        <f>Suposições!$C$12</f>
        <v>0.22</v>
      </c>
      <c r="X18" s="3">
        <f>Suposições!$C$12</f>
        <v>0.22</v>
      </c>
      <c r="Y18" s="3">
        <f>Suposições!$C$12</f>
        <v>0.22</v>
      </c>
      <c r="Z18" s="3">
        <f>Suposições!$C$12</f>
        <v>0.22</v>
      </c>
    </row>
    <row r="19" spans="2:26" s="33" customFormat="1" x14ac:dyDescent="0.25">
      <c r="B19" s="63" t="str">
        <f>SUBSTITUTE(CONCATENATE("Total leads",B15),"2.","")</f>
        <v>Total leads Orgânico</v>
      </c>
      <c r="C19" s="71">
        <v>2</v>
      </c>
      <c r="D19" s="71">
        <v>142</v>
      </c>
      <c r="E19" s="71">
        <v>279</v>
      </c>
      <c r="F19" s="71">
        <v>216</v>
      </c>
      <c r="G19" s="71">
        <v>270</v>
      </c>
      <c r="H19" s="71">
        <v>329</v>
      </c>
      <c r="I19" s="71">
        <v>147</v>
      </c>
      <c r="J19" s="71">
        <v>892</v>
      </c>
      <c r="K19" s="71">
        <v>725</v>
      </c>
      <c r="L19" s="71">
        <v>814</v>
      </c>
      <c r="M19" s="71">
        <v>999</v>
      </c>
      <c r="N19" s="71">
        <v>923</v>
      </c>
      <c r="O19" s="72">
        <f>INT((Suposições!$C$9*'INPUTS Leads- Trafego organico'!O6)+Suposições!$C$10)</f>
        <v>1161</v>
      </c>
      <c r="P19" s="63">
        <f>INT((Suposições!$C$9*'INPUTS Leads- Trafego organico'!P6)+Suposições!$C$10)</f>
        <v>1252</v>
      </c>
      <c r="Q19" s="63">
        <f>INT((Suposições!$C$9*'INPUTS Leads- Trafego organico'!Q6)+Suposições!$C$10)</f>
        <v>1343</v>
      </c>
      <c r="R19" s="63">
        <f>INT((Suposições!$C$9*'INPUTS Leads- Trafego organico'!R6)+Suposições!$C$10)</f>
        <v>1435</v>
      </c>
      <c r="S19" s="63">
        <f>INT((Suposições!$C$9*'INPUTS Leads- Trafego organico'!S6)+Suposições!$C$10)</f>
        <v>1526</v>
      </c>
      <c r="T19" s="63">
        <f>INT((Suposições!$C$9*'INPUTS Leads- Trafego organico'!T6)+Suposições!$C$10)</f>
        <v>1618</v>
      </c>
      <c r="U19" s="63">
        <f>INT((Suposições!$C$9*'INPUTS Leads- Trafego organico'!U6)+Suposições!$C$10)</f>
        <v>1709</v>
      </c>
      <c r="V19" s="63">
        <f>INT((Suposições!$C$9*'INPUTS Leads- Trafego organico'!V6)+Suposições!$C$10)</f>
        <v>1800</v>
      </c>
      <c r="W19" s="63">
        <f>INT((Suposições!$C$9*'INPUTS Leads- Trafego organico'!W6)+Suposições!$C$10)</f>
        <v>1892</v>
      </c>
      <c r="X19" s="63">
        <f>INT((Suposições!$C$9*'INPUTS Leads- Trafego organico'!X6)+Suposições!$C$10)</f>
        <v>1983</v>
      </c>
      <c r="Y19" s="63">
        <f>INT((Suposições!$C$9*'INPUTS Leads- Trafego organico'!Y6)+Suposições!$C$10)</f>
        <v>2074</v>
      </c>
      <c r="Z19" s="63">
        <f>INT((Suposições!$C$9*'INPUTS Leads- Trafego organico'!Z6)+Suposições!$C$10)</f>
        <v>2166</v>
      </c>
    </row>
    <row r="22" spans="2:26" s="4" customFormat="1" x14ac:dyDescent="0.25">
      <c r="B22" s="58" t="s">
        <v>33</v>
      </c>
      <c r="C22" s="63">
        <f t="shared" ref="C22:Z22" si="17">SUM(C13,C19)</f>
        <v>3</v>
      </c>
      <c r="D22" s="63">
        <f t="shared" si="17"/>
        <v>161</v>
      </c>
      <c r="E22" s="63">
        <f t="shared" si="17"/>
        <v>303</v>
      </c>
      <c r="F22" s="63">
        <f t="shared" si="17"/>
        <v>239</v>
      </c>
      <c r="G22" s="63">
        <f t="shared" si="17"/>
        <v>300</v>
      </c>
      <c r="H22" s="63">
        <f t="shared" si="17"/>
        <v>366</v>
      </c>
      <c r="I22" s="63">
        <f t="shared" si="17"/>
        <v>159</v>
      </c>
      <c r="J22" s="63">
        <f t="shared" si="17"/>
        <v>953</v>
      </c>
      <c r="K22" s="63">
        <f t="shared" si="17"/>
        <v>793</v>
      </c>
      <c r="L22" s="63">
        <f t="shared" si="17"/>
        <v>888</v>
      </c>
      <c r="M22" s="63">
        <f t="shared" si="17"/>
        <v>1049</v>
      </c>
      <c r="N22" s="63">
        <f t="shared" si="17"/>
        <v>1017</v>
      </c>
      <c r="O22" s="63">
        <f t="shared" si="17"/>
        <v>1252</v>
      </c>
      <c r="P22" s="63">
        <f t="shared" si="17"/>
        <v>1349</v>
      </c>
      <c r="Q22" s="63">
        <f t="shared" si="17"/>
        <v>1447</v>
      </c>
      <c r="R22" s="63">
        <f t="shared" si="17"/>
        <v>1546</v>
      </c>
      <c r="S22" s="63">
        <f t="shared" si="17"/>
        <v>1643</v>
      </c>
      <c r="T22" s="63">
        <f t="shared" si="17"/>
        <v>1742</v>
      </c>
      <c r="U22" s="63">
        <f t="shared" si="17"/>
        <v>1840</v>
      </c>
      <c r="V22" s="63">
        <f t="shared" si="17"/>
        <v>1937</v>
      </c>
      <c r="W22" s="63">
        <f t="shared" si="17"/>
        <v>2036</v>
      </c>
      <c r="X22" s="63">
        <f t="shared" si="17"/>
        <v>2134</v>
      </c>
      <c r="Y22" s="63">
        <f t="shared" si="17"/>
        <v>2231</v>
      </c>
      <c r="Z22" s="63">
        <f t="shared" si="17"/>
        <v>2330</v>
      </c>
    </row>
    <row r="23" spans="2:26" s="4" customFormat="1" x14ac:dyDescent="0.25">
      <c r="B23" s="58" t="s">
        <v>72</v>
      </c>
      <c r="C23" s="63">
        <f>SUM(C17+C11)</f>
        <v>13</v>
      </c>
      <c r="D23" s="63">
        <f t="shared" ref="D23:Z23" si="18">SUM(D17+D11)</f>
        <v>770</v>
      </c>
      <c r="E23" s="63">
        <f t="shared" si="18"/>
        <v>1289</v>
      </c>
      <c r="F23" s="63">
        <f t="shared" si="18"/>
        <v>1054</v>
      </c>
      <c r="G23" s="63">
        <f t="shared" si="18"/>
        <v>1382</v>
      </c>
      <c r="H23" s="63">
        <f t="shared" si="18"/>
        <v>1851</v>
      </c>
      <c r="I23" s="63">
        <f t="shared" si="18"/>
        <v>705</v>
      </c>
      <c r="J23" s="63">
        <f t="shared" si="18"/>
        <v>4663</v>
      </c>
      <c r="K23" s="63">
        <f t="shared" si="18"/>
        <v>3680</v>
      </c>
      <c r="L23" s="63">
        <f t="shared" si="18"/>
        <v>4314</v>
      </c>
      <c r="M23" s="63">
        <f t="shared" si="18"/>
        <v>5413</v>
      </c>
      <c r="N23" s="63">
        <f t="shared" si="18"/>
        <v>4710</v>
      </c>
      <c r="O23" s="63">
        <f t="shared" si="18"/>
        <v>5561</v>
      </c>
      <c r="P23" s="63">
        <f t="shared" si="18"/>
        <v>5993</v>
      </c>
      <c r="Q23" s="63">
        <f t="shared" si="18"/>
        <v>6429</v>
      </c>
      <c r="R23" s="63">
        <f t="shared" si="18"/>
        <v>6868</v>
      </c>
      <c r="S23" s="63">
        <f t="shared" si="18"/>
        <v>7301</v>
      </c>
      <c r="T23" s="63">
        <f t="shared" si="18"/>
        <v>7741</v>
      </c>
      <c r="U23" s="63">
        <f t="shared" si="18"/>
        <v>8177</v>
      </c>
      <c r="V23" s="63">
        <f t="shared" si="18"/>
        <v>8609</v>
      </c>
      <c r="W23" s="63">
        <f t="shared" si="18"/>
        <v>9050</v>
      </c>
      <c r="X23" s="63">
        <f t="shared" si="18"/>
        <v>9484</v>
      </c>
      <c r="Y23" s="63">
        <f t="shared" si="18"/>
        <v>9917</v>
      </c>
      <c r="Z23" s="63">
        <f t="shared" si="18"/>
        <v>10357</v>
      </c>
    </row>
  </sheetData>
  <hyperlinks>
    <hyperlink ref="B2" location="Capa!A1" display="Voltar para o Menu" xr:uid="{F00E3B74-C65E-45E7-83D5-616FCD188636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A57C-AAE1-46D3-B53A-587DCD9C71DD}">
  <dimension ref="B2:Z34"/>
  <sheetViews>
    <sheetView showGridLines="0" topLeftCell="A40" zoomScale="66" zoomScaleNormal="66" workbookViewId="0">
      <selection activeCell="S59" sqref="S59"/>
    </sheetView>
  </sheetViews>
  <sheetFormatPr defaultRowHeight="15.75" outlineLevelCol="1" x14ac:dyDescent="0.25"/>
  <cols>
    <col min="1" max="1" width="3.75" customWidth="1"/>
    <col min="2" max="2" width="29.875" customWidth="1"/>
    <col min="3" max="10" width="11" hidden="1" customWidth="1" outlineLevel="1"/>
    <col min="11" max="11" width="11" customWidth="1" collapsed="1"/>
    <col min="12" max="26" width="11" customWidth="1"/>
  </cols>
  <sheetData>
    <row r="2" spans="2:26" x14ac:dyDescent="0.25">
      <c r="B2" s="38" t="s">
        <v>97</v>
      </c>
    </row>
    <row r="4" spans="2:26" ht="26.25" x14ac:dyDescent="0.4">
      <c r="B4" s="51" t="s">
        <v>41</v>
      </c>
    </row>
    <row r="6" spans="2:26" x14ac:dyDescent="0.25">
      <c r="C6" s="50">
        <v>42887</v>
      </c>
      <c r="D6" s="50">
        <f>EOMONTH(C6,1)</f>
        <v>42947</v>
      </c>
      <c r="E6" s="50">
        <f t="shared" ref="E6:J6" si="0">EOMONTH(D6,1)</f>
        <v>42978</v>
      </c>
      <c r="F6" s="50">
        <f t="shared" si="0"/>
        <v>43008</v>
      </c>
      <c r="G6" s="50">
        <f t="shared" si="0"/>
        <v>43039</v>
      </c>
      <c r="H6" s="50">
        <f t="shared" si="0"/>
        <v>43069</v>
      </c>
      <c r="I6" s="50">
        <f t="shared" si="0"/>
        <v>43100</v>
      </c>
      <c r="J6" s="50">
        <f t="shared" si="0"/>
        <v>43131</v>
      </c>
      <c r="K6" s="77">
        <f>EOMONTH(J6,1)</f>
        <v>43159</v>
      </c>
      <c r="L6" s="77">
        <f t="shared" ref="L6:Z6" si="1">EOMONTH(K6,1)</f>
        <v>43190</v>
      </c>
      <c r="M6" s="77">
        <f t="shared" si="1"/>
        <v>43220</v>
      </c>
      <c r="N6" s="77">
        <f t="shared" si="1"/>
        <v>43251</v>
      </c>
      <c r="O6" s="77">
        <f t="shared" si="1"/>
        <v>43281</v>
      </c>
      <c r="P6" s="77">
        <f t="shared" si="1"/>
        <v>43312</v>
      </c>
      <c r="Q6" s="77">
        <f t="shared" si="1"/>
        <v>43343</v>
      </c>
      <c r="R6" s="77">
        <f t="shared" si="1"/>
        <v>43373</v>
      </c>
      <c r="S6" s="77">
        <f t="shared" si="1"/>
        <v>43404</v>
      </c>
      <c r="T6" s="77">
        <f t="shared" si="1"/>
        <v>43434</v>
      </c>
      <c r="U6" s="77">
        <f t="shared" si="1"/>
        <v>43465</v>
      </c>
      <c r="V6" s="77">
        <f t="shared" si="1"/>
        <v>43496</v>
      </c>
      <c r="W6" s="77">
        <f t="shared" si="1"/>
        <v>43524</v>
      </c>
      <c r="X6" s="77">
        <f t="shared" si="1"/>
        <v>43555</v>
      </c>
      <c r="Y6" s="77">
        <f t="shared" si="1"/>
        <v>43585</v>
      </c>
      <c r="Z6" s="77">
        <f t="shared" si="1"/>
        <v>43616</v>
      </c>
    </row>
    <row r="8" spans="2:26" x14ac:dyDescent="0.25">
      <c r="B8" s="76" t="s">
        <v>22</v>
      </c>
    </row>
    <row r="9" spans="2:26" x14ac:dyDescent="0.25">
      <c r="B9" s="62" t="str">
        <f>SUBSTITUTE(CONCATENATE("Leads",B8),"1. Google","")</f>
        <v xml:space="preserve">Leads Search </v>
      </c>
      <c r="C9" s="65">
        <v>0</v>
      </c>
      <c r="D9" s="65">
        <f>'INPUTS Leads- Trafego pago'!D15</f>
        <v>56</v>
      </c>
      <c r="E9" s="65">
        <f>'INPUTS Leads- Trafego pago'!E15</f>
        <v>79</v>
      </c>
      <c r="F9" s="65">
        <f>'INPUTS Leads- Trafego pago'!F15</f>
        <v>64</v>
      </c>
      <c r="G9" s="65">
        <f>'INPUTS Leads- Trafego pago'!G15</f>
        <v>100</v>
      </c>
      <c r="H9" s="65">
        <f>'INPUTS Leads- Trafego pago'!H15</f>
        <v>70</v>
      </c>
      <c r="I9" s="65">
        <f>'INPUTS Leads- Trafego pago'!I15</f>
        <v>35</v>
      </c>
      <c r="J9" s="65">
        <f>'INPUTS Leads- Trafego pago'!J15</f>
        <v>170</v>
      </c>
      <c r="K9" s="65">
        <f>'INPUTS Leads- Trafego pago'!K15</f>
        <v>212</v>
      </c>
      <c r="L9" s="65">
        <f>'INPUTS Leads- Trafego pago'!L15</f>
        <v>262</v>
      </c>
      <c r="M9" s="65">
        <f>'INPUTS Leads- Trafego pago'!M15</f>
        <v>272</v>
      </c>
      <c r="N9" s="65">
        <f>'INPUTS Leads- Trafego pago'!N15</f>
        <v>266</v>
      </c>
      <c r="O9" s="65">
        <f>'INPUTS Leads- Trafego pago'!O15</f>
        <v>298</v>
      </c>
      <c r="P9" s="65">
        <f>'INPUTS Leads- Trafego pago'!P15</f>
        <v>310</v>
      </c>
      <c r="Q9" s="65">
        <f>'INPUTS Leads- Trafego pago'!Q15</f>
        <v>323</v>
      </c>
      <c r="R9" s="65">
        <f>'INPUTS Leads- Trafego pago'!R15</f>
        <v>335</v>
      </c>
      <c r="S9" s="65">
        <f>'INPUTS Leads- Trafego pago'!S15</f>
        <v>349</v>
      </c>
      <c r="T9" s="65">
        <f>'INPUTS Leads- Trafego pago'!T15</f>
        <v>363</v>
      </c>
      <c r="U9" s="65">
        <f>'INPUTS Leads- Trafego pago'!U15</f>
        <v>377</v>
      </c>
      <c r="V9" s="65">
        <f>'INPUTS Leads- Trafego pago'!V15</f>
        <v>392</v>
      </c>
      <c r="W9" s="65">
        <f>'INPUTS Leads- Trafego pago'!W15</f>
        <v>408</v>
      </c>
      <c r="X9" s="65">
        <f>'INPUTS Leads- Trafego pago'!X15</f>
        <v>424</v>
      </c>
      <c r="Y9" s="65">
        <f>'INPUTS Leads- Trafego pago'!Y15</f>
        <v>441</v>
      </c>
      <c r="Z9" s="65">
        <f>'INPUTS Leads- Trafego pago'!Z15</f>
        <v>458</v>
      </c>
    </row>
    <row r="10" spans="2:26" x14ac:dyDescent="0.25">
      <c r="B10" s="62" t="s">
        <v>21</v>
      </c>
      <c r="C10" s="66">
        <v>0</v>
      </c>
      <c r="D10" s="66">
        <v>0</v>
      </c>
      <c r="E10" s="66">
        <v>3.7974683544303799E-2</v>
      </c>
      <c r="F10" s="66">
        <v>3.125E-2</v>
      </c>
      <c r="G10" s="66">
        <v>7.0000000000000007E-2</v>
      </c>
      <c r="H10" s="66">
        <v>8.5714285714285715E-2</v>
      </c>
      <c r="I10" s="66">
        <v>5.7142857142857141E-2</v>
      </c>
      <c r="J10" s="66">
        <v>0.11764705882352941</v>
      </c>
      <c r="K10" s="66">
        <v>0.20283018867924529</v>
      </c>
      <c r="L10" s="66">
        <v>0.14885496183206107</v>
      </c>
      <c r="M10" s="66">
        <v>0.15808823529411764</v>
      </c>
      <c r="N10" s="66">
        <v>0.11278195488721804</v>
      </c>
      <c r="O10" s="67">
        <f>AVERAGE(N10,M10,L10)</f>
        <v>0.13990838400446559</v>
      </c>
      <c r="P10" s="68">
        <f t="shared" ref="P10:Z10" si="2">AVERAGE(O10,N10,M10)</f>
        <v>0.1369261913952671</v>
      </c>
      <c r="Q10" s="68">
        <f t="shared" si="2"/>
        <v>0.12987217676231691</v>
      </c>
      <c r="R10" s="68">
        <f t="shared" si="2"/>
        <v>0.13556891738734986</v>
      </c>
      <c r="S10" s="68">
        <f t="shared" si="2"/>
        <v>0.13412242851497794</v>
      </c>
      <c r="T10" s="68">
        <f t="shared" si="2"/>
        <v>0.13318784088821489</v>
      </c>
      <c r="U10" s="68">
        <f t="shared" si="2"/>
        <v>0.13429306226351423</v>
      </c>
      <c r="V10" s="68">
        <f t="shared" si="2"/>
        <v>0.13386777722223567</v>
      </c>
      <c r="W10" s="68">
        <f t="shared" si="2"/>
        <v>0.13378289345798824</v>
      </c>
      <c r="X10" s="68">
        <f t="shared" si="2"/>
        <v>0.13398124431457939</v>
      </c>
      <c r="Y10" s="68">
        <f t="shared" si="2"/>
        <v>0.13387730499826778</v>
      </c>
      <c r="Z10" s="68">
        <f t="shared" si="2"/>
        <v>0.13388048092361179</v>
      </c>
    </row>
    <row r="11" spans="2:26" s="4" customFormat="1" x14ac:dyDescent="0.25">
      <c r="B11" s="58" t="str">
        <f>SUBSTITUTE(CONCATENATE("Total de vendas",B8),"1. Google","")</f>
        <v xml:space="preserve">Total de vendas Search </v>
      </c>
      <c r="C11" s="74">
        <f>C9*C10</f>
        <v>0</v>
      </c>
      <c r="D11" s="74">
        <f>D9*D10</f>
        <v>0</v>
      </c>
      <c r="E11" s="74">
        <f t="shared" ref="E11:N11" si="3">E9*E10</f>
        <v>3</v>
      </c>
      <c r="F11" s="74">
        <f t="shared" si="3"/>
        <v>2</v>
      </c>
      <c r="G11" s="74">
        <f t="shared" si="3"/>
        <v>7.0000000000000009</v>
      </c>
      <c r="H11" s="74">
        <f t="shared" si="3"/>
        <v>6</v>
      </c>
      <c r="I11" s="74">
        <f t="shared" si="3"/>
        <v>2</v>
      </c>
      <c r="J11" s="74">
        <f t="shared" si="3"/>
        <v>20</v>
      </c>
      <c r="K11" s="74">
        <f t="shared" si="3"/>
        <v>43</v>
      </c>
      <c r="L11" s="74">
        <f t="shared" si="3"/>
        <v>39</v>
      </c>
      <c r="M11" s="74">
        <f t="shared" si="3"/>
        <v>43</v>
      </c>
      <c r="N11" s="74">
        <f t="shared" si="3"/>
        <v>30</v>
      </c>
      <c r="O11" s="75">
        <f>INT((O9*O10))</f>
        <v>41</v>
      </c>
      <c r="P11" s="75">
        <f t="shared" ref="P11:Z11" si="4">INT((P9*P10))</f>
        <v>42</v>
      </c>
      <c r="Q11" s="75">
        <f t="shared" si="4"/>
        <v>41</v>
      </c>
      <c r="R11" s="75">
        <f t="shared" si="4"/>
        <v>45</v>
      </c>
      <c r="S11" s="75">
        <f t="shared" si="4"/>
        <v>46</v>
      </c>
      <c r="T11" s="75">
        <f t="shared" si="4"/>
        <v>48</v>
      </c>
      <c r="U11" s="75">
        <f t="shared" si="4"/>
        <v>50</v>
      </c>
      <c r="V11" s="75">
        <f t="shared" si="4"/>
        <v>52</v>
      </c>
      <c r="W11" s="75">
        <f t="shared" si="4"/>
        <v>54</v>
      </c>
      <c r="X11" s="75">
        <f t="shared" si="4"/>
        <v>56</v>
      </c>
      <c r="Y11" s="75">
        <f t="shared" si="4"/>
        <v>59</v>
      </c>
      <c r="Z11" s="75">
        <f t="shared" si="4"/>
        <v>61</v>
      </c>
    </row>
    <row r="13" spans="2:26" x14ac:dyDescent="0.25">
      <c r="B13" s="76" t="s">
        <v>23</v>
      </c>
    </row>
    <row r="14" spans="2:26" x14ac:dyDescent="0.25">
      <c r="B14" s="62" t="str">
        <f>SUBSTITUTE(CONCATENATE("Leads",B13),"2. Google","")</f>
        <v xml:space="preserve">Leads Display </v>
      </c>
      <c r="C14" s="65">
        <f>'INPUTS Leads- Trafego pago'!C23</f>
        <v>1</v>
      </c>
      <c r="D14" s="65">
        <f>'INPUTS Leads- Trafego pago'!D23</f>
        <v>19</v>
      </c>
      <c r="E14" s="65">
        <f>'INPUTS Leads- Trafego pago'!E23</f>
        <v>2</v>
      </c>
      <c r="F14" s="65">
        <f>'INPUTS Leads- Trafego pago'!F23</f>
        <v>5</v>
      </c>
      <c r="G14" s="65">
        <f>'INPUTS Leads- Trafego pago'!G23</f>
        <v>5</v>
      </c>
      <c r="H14" s="65">
        <f>'INPUTS Leads- Trafego pago'!H23</f>
        <v>6</v>
      </c>
      <c r="I14" s="65">
        <f>'INPUTS Leads- Trafego pago'!I23</f>
        <v>5</v>
      </c>
      <c r="J14" s="65">
        <f>'INPUTS Leads- Trafego pago'!J23</f>
        <v>11</v>
      </c>
      <c r="K14" s="65">
        <f>'INPUTS Leads- Trafego pago'!K23</f>
        <v>18</v>
      </c>
      <c r="L14" s="65">
        <f>'INPUTS Leads- Trafego pago'!L23</f>
        <v>16</v>
      </c>
      <c r="M14" s="65">
        <f>'INPUTS Leads- Trafego pago'!M23</f>
        <v>19</v>
      </c>
      <c r="N14" s="65">
        <f>'INPUTS Leads- Trafego pago'!N23</f>
        <v>11</v>
      </c>
      <c r="O14" s="65">
        <f>'INPUTS Leads- Trafego pago'!O23</f>
        <v>12</v>
      </c>
      <c r="P14" s="65">
        <f>'INPUTS Leads- Trafego pago'!P23</f>
        <v>12</v>
      </c>
      <c r="Q14" s="65">
        <f>'INPUTS Leads- Trafego pago'!Q23</f>
        <v>13</v>
      </c>
      <c r="R14" s="65">
        <f>'INPUTS Leads- Trafego pago'!R23</f>
        <v>13</v>
      </c>
      <c r="S14" s="65">
        <f>'INPUTS Leads- Trafego pago'!S23</f>
        <v>14</v>
      </c>
      <c r="T14" s="65">
        <f>'INPUTS Leads- Trafego pago'!T23</f>
        <v>14</v>
      </c>
      <c r="U14" s="65">
        <f>'INPUTS Leads- Trafego pago'!U23</f>
        <v>15</v>
      </c>
      <c r="V14" s="65">
        <f>'INPUTS Leads- Trafego pago'!V23</f>
        <v>16</v>
      </c>
      <c r="W14" s="65">
        <f>'INPUTS Leads- Trafego pago'!W23</f>
        <v>16</v>
      </c>
      <c r="X14" s="65">
        <f>'INPUTS Leads- Trafego pago'!X23</f>
        <v>17</v>
      </c>
      <c r="Y14" s="65">
        <f>'INPUTS Leads- Trafego pago'!Y23</f>
        <v>18</v>
      </c>
      <c r="Z14" s="65">
        <f>'INPUTS Leads- Trafego pago'!Z23</f>
        <v>19</v>
      </c>
    </row>
    <row r="15" spans="2:26" x14ac:dyDescent="0.25">
      <c r="B15" s="62" t="s">
        <v>21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6">
        <v>0</v>
      </c>
      <c r="I15" s="66">
        <v>0.2</v>
      </c>
      <c r="J15" s="66">
        <v>0</v>
      </c>
      <c r="K15" s="69">
        <v>5.5555555555555552E-2</v>
      </c>
      <c r="L15" s="66">
        <v>6.25E-2</v>
      </c>
      <c r="M15" s="66">
        <v>0.10526315789473684</v>
      </c>
      <c r="N15" s="66">
        <v>9.0909090909090912E-2</v>
      </c>
      <c r="O15" s="67">
        <f>AVERAGE(N15,M15,L15)</f>
        <v>8.6224082934609259E-2</v>
      </c>
      <c r="P15" s="68">
        <f t="shared" ref="P15:Z15" si="5">AVERAGE(O15,N15,M15)</f>
        <v>9.4132110579479011E-2</v>
      </c>
      <c r="Q15" s="68">
        <f t="shared" si="5"/>
        <v>9.042176147439307E-2</v>
      </c>
      <c r="R15" s="68">
        <f t="shared" si="5"/>
        <v>9.0259318329493785E-2</v>
      </c>
      <c r="S15" s="68">
        <f t="shared" si="5"/>
        <v>9.1604396794455298E-2</v>
      </c>
      <c r="T15" s="68">
        <f t="shared" si="5"/>
        <v>9.0761825532780713E-2</v>
      </c>
      <c r="U15" s="68">
        <f t="shared" si="5"/>
        <v>9.0875180218909932E-2</v>
      </c>
      <c r="V15" s="68">
        <f t="shared" si="5"/>
        <v>9.1080467515381971E-2</v>
      </c>
      <c r="W15" s="68">
        <f t="shared" si="5"/>
        <v>9.0905824422357548E-2</v>
      </c>
      <c r="X15" s="68">
        <f t="shared" si="5"/>
        <v>9.0953824052216484E-2</v>
      </c>
      <c r="Y15" s="68">
        <f t="shared" si="5"/>
        <v>9.0980038663318663E-2</v>
      </c>
      <c r="Z15" s="68">
        <f t="shared" si="5"/>
        <v>9.094656237929756E-2</v>
      </c>
    </row>
    <row r="16" spans="2:26" s="4" customFormat="1" x14ac:dyDescent="0.25">
      <c r="B16" s="58" t="str">
        <f>SUBSTITUTE(CONCATENATE("Total de vendas",B13),"2. Google","")</f>
        <v xml:space="preserve">Total de vendas Display </v>
      </c>
      <c r="C16" s="74">
        <f>C14*C15</f>
        <v>0</v>
      </c>
      <c r="D16" s="74">
        <f>D14*D15</f>
        <v>0</v>
      </c>
      <c r="E16" s="74">
        <f t="shared" ref="E16:N16" si="6">E14*E15</f>
        <v>0</v>
      </c>
      <c r="F16" s="74">
        <f t="shared" si="6"/>
        <v>0</v>
      </c>
      <c r="G16" s="74">
        <f t="shared" si="6"/>
        <v>0</v>
      </c>
      <c r="H16" s="74">
        <f t="shared" si="6"/>
        <v>0</v>
      </c>
      <c r="I16" s="75">
        <f t="shared" si="6"/>
        <v>1</v>
      </c>
      <c r="J16" s="74">
        <f t="shared" si="6"/>
        <v>0</v>
      </c>
      <c r="K16" s="74">
        <f t="shared" si="6"/>
        <v>1</v>
      </c>
      <c r="L16" s="74">
        <f t="shared" si="6"/>
        <v>1</v>
      </c>
      <c r="M16" s="74">
        <f t="shared" si="6"/>
        <v>2</v>
      </c>
      <c r="N16" s="74">
        <f t="shared" si="6"/>
        <v>1</v>
      </c>
      <c r="O16" s="74">
        <f>INT((O14*O15))</f>
        <v>1</v>
      </c>
      <c r="P16" s="74">
        <f t="shared" ref="P16:Z16" si="7">INT((P14*P15))</f>
        <v>1</v>
      </c>
      <c r="Q16" s="74">
        <f t="shared" si="7"/>
        <v>1</v>
      </c>
      <c r="R16" s="74">
        <f t="shared" si="7"/>
        <v>1</v>
      </c>
      <c r="S16" s="74">
        <f t="shared" si="7"/>
        <v>1</v>
      </c>
      <c r="T16" s="74">
        <f t="shared" si="7"/>
        <v>1</v>
      </c>
      <c r="U16" s="74">
        <f t="shared" si="7"/>
        <v>1</v>
      </c>
      <c r="V16" s="74">
        <f t="shared" si="7"/>
        <v>1</v>
      </c>
      <c r="W16" s="74">
        <f t="shared" si="7"/>
        <v>1</v>
      </c>
      <c r="X16" s="74">
        <f t="shared" si="7"/>
        <v>1</v>
      </c>
      <c r="Y16" s="74">
        <f t="shared" si="7"/>
        <v>1</v>
      </c>
      <c r="Z16" s="74">
        <f t="shared" si="7"/>
        <v>1</v>
      </c>
    </row>
    <row r="17" spans="2:26" x14ac:dyDescent="0.25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2:26" x14ac:dyDescent="0.25">
      <c r="B18" s="76" t="s">
        <v>39</v>
      </c>
    </row>
    <row r="19" spans="2:26" x14ac:dyDescent="0.25">
      <c r="B19" s="62" t="str">
        <f>SUBSTITUTE(CONCATENATE("Leads",B18),"3.","")</f>
        <v xml:space="preserve">Leads Facebook </v>
      </c>
      <c r="C19" s="65">
        <v>0</v>
      </c>
      <c r="D19" s="65">
        <f>'INPUTS Leads- Trafego pago'!D31</f>
        <v>3</v>
      </c>
      <c r="E19" s="65">
        <f>'INPUTS Leads- Trafego pago'!E31</f>
        <v>2</v>
      </c>
      <c r="F19" s="65">
        <f>'INPUTS Leads- Trafego pago'!F31</f>
        <v>4</v>
      </c>
      <c r="G19" s="65">
        <f>'INPUTS Leads- Trafego pago'!G31</f>
        <v>11</v>
      </c>
      <c r="H19" s="65">
        <f>'INPUTS Leads- Trafego pago'!H31</f>
        <v>3</v>
      </c>
      <c r="I19" s="65">
        <f>'INPUTS Leads- Trafego pago'!I31</f>
        <v>1</v>
      </c>
      <c r="J19" s="65">
        <f>'INPUTS Leads- Trafego pago'!J31</f>
        <v>7</v>
      </c>
      <c r="K19" s="65">
        <f>'INPUTS Leads- Trafego pago'!K31</f>
        <v>5</v>
      </c>
      <c r="L19" s="65">
        <f>'INPUTS Leads- Trafego pago'!L31</f>
        <v>8</v>
      </c>
      <c r="M19" s="65">
        <f>'INPUTS Leads- Trafego pago'!M31</f>
        <v>12</v>
      </c>
      <c r="N19" s="65">
        <f>'INPUTS Leads- Trafego pago'!N31</f>
        <v>9</v>
      </c>
      <c r="O19" s="65">
        <f>'INPUTS Leads- Trafego pago'!O31</f>
        <v>6</v>
      </c>
      <c r="P19" s="65">
        <f>'INPUTS Leads- Trafego pago'!P31</f>
        <v>6</v>
      </c>
      <c r="Q19" s="65">
        <f>'INPUTS Leads- Trafego pago'!Q31</f>
        <v>6</v>
      </c>
      <c r="R19" s="65">
        <f>'INPUTS Leads- Trafego pago'!R31</f>
        <v>7</v>
      </c>
      <c r="S19" s="65">
        <f>'INPUTS Leads- Trafego pago'!S31</f>
        <v>7</v>
      </c>
      <c r="T19" s="65">
        <f>'INPUTS Leads- Trafego pago'!T31</f>
        <v>7</v>
      </c>
      <c r="U19" s="65">
        <f>'INPUTS Leads- Trafego pago'!U31</f>
        <v>8</v>
      </c>
      <c r="V19" s="65">
        <f>'INPUTS Leads- Trafego pago'!V31</f>
        <v>8</v>
      </c>
      <c r="W19" s="65">
        <f>'INPUTS Leads- Trafego pago'!W31</f>
        <v>8</v>
      </c>
      <c r="X19" s="65">
        <f>'INPUTS Leads- Trafego pago'!X31</f>
        <v>9</v>
      </c>
      <c r="Y19" s="65">
        <f>'INPUTS Leads- Trafego pago'!Y31</f>
        <v>16</v>
      </c>
      <c r="Z19" s="65">
        <f>'INPUTS Leads- Trafego pago'!Z31</f>
        <v>17</v>
      </c>
    </row>
    <row r="20" spans="2:26" x14ac:dyDescent="0.25">
      <c r="B20" s="62" t="s">
        <v>21</v>
      </c>
      <c r="C20" s="59">
        <v>0</v>
      </c>
      <c r="D20" s="59">
        <v>0</v>
      </c>
      <c r="E20" s="59">
        <v>0</v>
      </c>
      <c r="F20" s="59">
        <v>0</v>
      </c>
      <c r="G20" s="59">
        <v>0</v>
      </c>
      <c r="H20" s="59">
        <v>0</v>
      </c>
      <c r="I20" s="59">
        <v>0</v>
      </c>
      <c r="J20" s="66">
        <v>0.2857142857142857</v>
      </c>
      <c r="K20" s="59">
        <v>0</v>
      </c>
      <c r="L20" s="66">
        <v>0.125</v>
      </c>
      <c r="M20" s="59">
        <v>0</v>
      </c>
      <c r="N20" s="59">
        <v>0</v>
      </c>
      <c r="O20" s="67">
        <f>L20</f>
        <v>0.125</v>
      </c>
      <c r="P20" s="68">
        <f>O20</f>
        <v>0.125</v>
      </c>
      <c r="Q20" s="68">
        <f t="shared" ref="Q20:Z20" si="8">P20</f>
        <v>0.125</v>
      </c>
      <c r="R20" s="68">
        <f t="shared" si="8"/>
        <v>0.125</v>
      </c>
      <c r="S20" s="68">
        <f t="shared" si="8"/>
        <v>0.125</v>
      </c>
      <c r="T20" s="68">
        <f t="shared" si="8"/>
        <v>0.125</v>
      </c>
      <c r="U20" s="68">
        <f t="shared" si="8"/>
        <v>0.125</v>
      </c>
      <c r="V20" s="68">
        <f t="shared" si="8"/>
        <v>0.125</v>
      </c>
      <c r="W20" s="68">
        <f t="shared" si="8"/>
        <v>0.125</v>
      </c>
      <c r="X20" s="68">
        <f t="shared" si="8"/>
        <v>0.125</v>
      </c>
      <c r="Y20" s="68">
        <f t="shared" si="8"/>
        <v>0.125</v>
      </c>
      <c r="Z20" s="68">
        <f t="shared" si="8"/>
        <v>0.125</v>
      </c>
    </row>
    <row r="21" spans="2:26" s="4" customFormat="1" x14ac:dyDescent="0.25">
      <c r="B21" s="58" t="str">
        <f>SUBSTITUTE(CONCATENATE("Total de vendas",B18),"3.","")</f>
        <v xml:space="preserve">Total de vendas Facebook </v>
      </c>
      <c r="C21" s="58">
        <f>C19*C20</f>
        <v>0</v>
      </c>
      <c r="D21" s="58">
        <f>D19*D20</f>
        <v>0</v>
      </c>
      <c r="E21" s="58">
        <f t="shared" ref="E21:Z21" si="9">E19*E20</f>
        <v>0</v>
      </c>
      <c r="F21" s="58">
        <f t="shared" si="9"/>
        <v>0</v>
      </c>
      <c r="G21" s="58">
        <f t="shared" si="9"/>
        <v>0</v>
      </c>
      <c r="H21" s="58">
        <f t="shared" si="9"/>
        <v>0</v>
      </c>
      <c r="I21" s="58">
        <f t="shared" si="9"/>
        <v>0</v>
      </c>
      <c r="J21" s="58">
        <f t="shared" si="9"/>
        <v>2</v>
      </c>
      <c r="K21" s="58">
        <f t="shared" si="9"/>
        <v>0</v>
      </c>
      <c r="L21" s="58">
        <f t="shared" si="9"/>
        <v>1</v>
      </c>
      <c r="M21" s="58">
        <f t="shared" si="9"/>
        <v>0</v>
      </c>
      <c r="N21" s="73">
        <f t="shared" si="9"/>
        <v>0</v>
      </c>
      <c r="O21" s="73">
        <f t="shared" si="9"/>
        <v>0.75</v>
      </c>
      <c r="P21" s="73">
        <f t="shared" si="9"/>
        <v>0.75</v>
      </c>
      <c r="Q21" s="73">
        <f t="shared" si="9"/>
        <v>0.75</v>
      </c>
      <c r="R21" s="73">
        <f t="shared" si="9"/>
        <v>0.875</v>
      </c>
      <c r="S21" s="73">
        <f t="shared" si="9"/>
        <v>0.875</v>
      </c>
      <c r="T21" s="73">
        <f t="shared" si="9"/>
        <v>0.875</v>
      </c>
      <c r="U21" s="73">
        <f t="shared" si="9"/>
        <v>1</v>
      </c>
      <c r="V21" s="73">
        <f t="shared" si="9"/>
        <v>1</v>
      </c>
      <c r="W21" s="73">
        <f t="shared" si="9"/>
        <v>1</v>
      </c>
      <c r="X21" s="73">
        <f t="shared" si="9"/>
        <v>1.125</v>
      </c>
      <c r="Y21" s="73">
        <f t="shared" si="9"/>
        <v>2</v>
      </c>
      <c r="Z21" s="73">
        <f t="shared" si="9"/>
        <v>2.125</v>
      </c>
    </row>
    <row r="22" spans="2:26" x14ac:dyDescent="0.25">
      <c r="B22" s="4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2:26" x14ac:dyDescent="0.25">
      <c r="B23" s="76" t="s">
        <v>40</v>
      </c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2:26" x14ac:dyDescent="0.25">
      <c r="B24" s="62" t="str">
        <f>SUBSTITUTE(CONCATENATE("Leads",B23),"4.","")</f>
        <v>Leads Email</v>
      </c>
      <c r="C24" s="65">
        <f>'INPUTS Leads- Trafego organico'!C13</f>
        <v>1</v>
      </c>
      <c r="D24" s="65">
        <f>'INPUTS Leads- Trafego organico'!D13</f>
        <v>19</v>
      </c>
      <c r="E24" s="65">
        <f>'INPUTS Leads- Trafego organico'!E13</f>
        <v>24</v>
      </c>
      <c r="F24" s="65">
        <f>'INPUTS Leads- Trafego organico'!F13</f>
        <v>23</v>
      </c>
      <c r="G24" s="65">
        <f>'INPUTS Leads- Trafego organico'!G13</f>
        <v>30</v>
      </c>
      <c r="H24" s="65">
        <f>'INPUTS Leads- Trafego organico'!H13</f>
        <v>37</v>
      </c>
      <c r="I24" s="65">
        <f>'INPUTS Leads- Trafego organico'!I13</f>
        <v>12</v>
      </c>
      <c r="J24" s="65">
        <f>'INPUTS Leads- Trafego organico'!J13</f>
        <v>61</v>
      </c>
      <c r="K24" s="65">
        <f>'INPUTS Leads- Trafego organico'!K13</f>
        <v>68</v>
      </c>
      <c r="L24" s="65">
        <f>'INPUTS Leads- Trafego organico'!L13</f>
        <v>74</v>
      </c>
      <c r="M24" s="65">
        <f>'INPUTS Leads- Trafego organico'!M13</f>
        <v>50</v>
      </c>
      <c r="N24" s="65">
        <f>'INPUTS Leads- Trafego organico'!N13</f>
        <v>94</v>
      </c>
      <c r="O24" s="65">
        <f>'INPUTS Leads- Trafego organico'!O13</f>
        <v>91</v>
      </c>
      <c r="P24" s="65">
        <f>'INPUTS Leads- Trafego organico'!P13</f>
        <v>97</v>
      </c>
      <c r="Q24" s="65">
        <f>'INPUTS Leads- Trafego organico'!Q13</f>
        <v>104</v>
      </c>
      <c r="R24" s="65">
        <f>'INPUTS Leads- Trafego organico'!R13</f>
        <v>111</v>
      </c>
      <c r="S24" s="65">
        <f>'INPUTS Leads- Trafego organico'!S13</f>
        <v>117</v>
      </c>
      <c r="T24" s="65">
        <f>'INPUTS Leads- Trafego organico'!T13</f>
        <v>124</v>
      </c>
      <c r="U24" s="65">
        <f>'INPUTS Leads- Trafego organico'!U13</f>
        <v>131</v>
      </c>
      <c r="V24" s="65">
        <f>'INPUTS Leads- Trafego organico'!V13</f>
        <v>137</v>
      </c>
      <c r="W24" s="65">
        <f>'INPUTS Leads- Trafego organico'!W13</f>
        <v>144</v>
      </c>
      <c r="X24" s="65">
        <f>'INPUTS Leads- Trafego organico'!X13</f>
        <v>151</v>
      </c>
      <c r="Y24" s="65">
        <f>'INPUTS Leads- Trafego organico'!Y13</f>
        <v>157</v>
      </c>
      <c r="Z24" s="65">
        <f>'INPUTS Leads- Trafego organico'!Z13</f>
        <v>164</v>
      </c>
    </row>
    <row r="25" spans="2:26" x14ac:dyDescent="0.25">
      <c r="B25" s="62" t="s">
        <v>21</v>
      </c>
      <c r="C25" s="66">
        <v>0</v>
      </c>
      <c r="D25" s="66">
        <v>0</v>
      </c>
      <c r="E25" s="66">
        <v>0</v>
      </c>
      <c r="F25" s="66">
        <v>0</v>
      </c>
      <c r="G25" s="66">
        <v>3.3333333333333333E-2</v>
      </c>
      <c r="H25" s="66">
        <v>0</v>
      </c>
      <c r="I25" s="66">
        <v>0</v>
      </c>
      <c r="J25" s="66">
        <v>1.6393442622950821E-2</v>
      </c>
      <c r="K25" s="66">
        <v>5.8823529411764705E-2</v>
      </c>
      <c r="L25" s="66">
        <v>5.4054054054054057E-2</v>
      </c>
      <c r="M25" s="66">
        <v>0.06</v>
      </c>
      <c r="N25" s="66">
        <v>2.1276595744680851E-2</v>
      </c>
      <c r="O25" s="67">
        <f>AVERAGE(N25,M25,L25)</f>
        <v>4.5110216599578305E-2</v>
      </c>
      <c r="P25" s="68">
        <f t="shared" ref="P25:Z25" si="10">AVERAGE(O25,N25,M25)</f>
        <v>4.2128937448086379E-2</v>
      </c>
      <c r="Q25" s="68">
        <f t="shared" si="10"/>
        <v>3.6171916597448513E-2</v>
      </c>
      <c r="R25" s="68">
        <f t="shared" si="10"/>
        <v>4.1137023548371066E-2</v>
      </c>
      <c r="S25" s="68">
        <f t="shared" si="10"/>
        <v>3.9812625864635319E-2</v>
      </c>
      <c r="T25" s="68">
        <f t="shared" si="10"/>
        <v>3.9040522003484963E-2</v>
      </c>
      <c r="U25" s="68">
        <f t="shared" si="10"/>
        <v>3.9996723805497118E-2</v>
      </c>
      <c r="V25" s="68">
        <f t="shared" si="10"/>
        <v>3.96166238912058E-2</v>
      </c>
      <c r="W25" s="68">
        <f t="shared" si="10"/>
        <v>3.9551289900062625E-2</v>
      </c>
      <c r="X25" s="68">
        <f t="shared" si="10"/>
        <v>3.9721545865588515E-2</v>
      </c>
      <c r="Y25" s="68">
        <f t="shared" si="10"/>
        <v>3.9629819885618978E-2</v>
      </c>
      <c r="Z25" s="68">
        <f t="shared" si="10"/>
        <v>3.9634218550423372E-2</v>
      </c>
    </row>
    <row r="26" spans="2:26" s="4" customFormat="1" x14ac:dyDescent="0.25">
      <c r="B26" s="58" t="str">
        <f>SUBSTITUTE(CONCATENATE("Total de vendas",B23),"4.","")</f>
        <v>Total de vendas Email</v>
      </c>
      <c r="C26" s="58">
        <f>C24*C25</f>
        <v>0</v>
      </c>
      <c r="D26" s="58">
        <f>D24*D25</f>
        <v>0</v>
      </c>
      <c r="E26" s="58">
        <f t="shared" ref="E26:N26" si="11">E24*E25</f>
        <v>0</v>
      </c>
      <c r="F26" s="58">
        <f t="shared" si="11"/>
        <v>0</v>
      </c>
      <c r="G26" s="58">
        <f t="shared" si="11"/>
        <v>1</v>
      </c>
      <c r="H26" s="58">
        <f t="shared" si="11"/>
        <v>0</v>
      </c>
      <c r="I26" s="58">
        <f t="shared" si="11"/>
        <v>0</v>
      </c>
      <c r="J26" s="58">
        <f t="shared" si="11"/>
        <v>1</v>
      </c>
      <c r="K26" s="58">
        <f t="shared" si="11"/>
        <v>4</v>
      </c>
      <c r="L26" s="58">
        <f t="shared" si="11"/>
        <v>4</v>
      </c>
      <c r="M26" s="58">
        <f t="shared" si="11"/>
        <v>3</v>
      </c>
      <c r="N26" s="58">
        <f t="shared" si="11"/>
        <v>2</v>
      </c>
      <c r="O26" s="58">
        <f>INT((O24*O25))</f>
        <v>4</v>
      </c>
      <c r="P26" s="58">
        <f t="shared" ref="P26:Z26" si="12">INT((P24*P25))</f>
        <v>4</v>
      </c>
      <c r="Q26" s="58">
        <f t="shared" si="12"/>
        <v>3</v>
      </c>
      <c r="R26" s="58">
        <f t="shared" si="12"/>
        <v>4</v>
      </c>
      <c r="S26" s="58">
        <f t="shared" si="12"/>
        <v>4</v>
      </c>
      <c r="T26" s="58">
        <f t="shared" si="12"/>
        <v>4</v>
      </c>
      <c r="U26" s="58">
        <f t="shared" si="12"/>
        <v>5</v>
      </c>
      <c r="V26" s="58">
        <f t="shared" si="12"/>
        <v>5</v>
      </c>
      <c r="W26" s="58">
        <f t="shared" si="12"/>
        <v>5</v>
      </c>
      <c r="X26" s="58">
        <f t="shared" si="12"/>
        <v>5</v>
      </c>
      <c r="Y26" s="58">
        <f t="shared" si="12"/>
        <v>6</v>
      </c>
      <c r="Z26" s="58">
        <f t="shared" si="12"/>
        <v>6</v>
      </c>
    </row>
    <row r="27" spans="2:26" x14ac:dyDescent="0.25">
      <c r="B27" s="4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2:26" x14ac:dyDescent="0.25">
      <c r="B28" s="76" t="s">
        <v>110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2:26" x14ac:dyDescent="0.25">
      <c r="B29" s="62" t="str">
        <f>SUBSTITUTE(CONCATENATE("Leads",B28),"5.","")</f>
        <v>Leads Orgânico</v>
      </c>
      <c r="C29" s="65">
        <f>'INPUTS Leads- Trafego organico'!C19</f>
        <v>2</v>
      </c>
      <c r="D29" s="65">
        <f>'INPUTS Leads- Trafego organico'!D19</f>
        <v>142</v>
      </c>
      <c r="E29" s="65">
        <f>'INPUTS Leads- Trafego organico'!E19</f>
        <v>279</v>
      </c>
      <c r="F29" s="65">
        <f>'INPUTS Leads- Trafego organico'!F19</f>
        <v>216</v>
      </c>
      <c r="G29" s="65">
        <f>'INPUTS Leads- Trafego organico'!G19</f>
        <v>270</v>
      </c>
      <c r="H29" s="65">
        <f>'INPUTS Leads- Trafego organico'!H19</f>
        <v>329</v>
      </c>
      <c r="I29" s="65">
        <f>'INPUTS Leads- Trafego organico'!I19</f>
        <v>147</v>
      </c>
      <c r="J29" s="65">
        <f>'INPUTS Leads- Trafego organico'!J19</f>
        <v>892</v>
      </c>
      <c r="K29" s="65">
        <f>'INPUTS Leads- Trafego organico'!K19</f>
        <v>725</v>
      </c>
      <c r="L29" s="65">
        <f>'INPUTS Leads- Trafego organico'!L19</f>
        <v>814</v>
      </c>
      <c r="M29" s="65">
        <f>'INPUTS Leads- Trafego organico'!M19</f>
        <v>999</v>
      </c>
      <c r="N29" s="65">
        <f>'INPUTS Leads- Trafego organico'!N19</f>
        <v>923</v>
      </c>
      <c r="O29" s="65">
        <f>'INPUTS Leads- Trafego organico'!O19</f>
        <v>1161</v>
      </c>
      <c r="P29" s="65">
        <f>'INPUTS Leads- Trafego organico'!P19</f>
        <v>1252</v>
      </c>
      <c r="Q29" s="65">
        <f>'INPUTS Leads- Trafego organico'!Q19</f>
        <v>1343</v>
      </c>
      <c r="R29" s="65">
        <f>'INPUTS Leads- Trafego organico'!R19</f>
        <v>1435</v>
      </c>
      <c r="S29" s="65">
        <f>'INPUTS Leads- Trafego organico'!S19</f>
        <v>1526</v>
      </c>
      <c r="T29" s="65">
        <f>'INPUTS Leads- Trafego organico'!T19</f>
        <v>1618</v>
      </c>
      <c r="U29" s="65">
        <f>'INPUTS Leads- Trafego organico'!U19</f>
        <v>1709</v>
      </c>
      <c r="V29" s="65">
        <f>'INPUTS Leads- Trafego organico'!V19</f>
        <v>1800</v>
      </c>
      <c r="W29" s="65">
        <f>'INPUTS Leads- Trafego organico'!W19</f>
        <v>1892</v>
      </c>
      <c r="X29" s="65">
        <f>'INPUTS Leads- Trafego organico'!X19</f>
        <v>1983</v>
      </c>
      <c r="Y29" s="65">
        <f>'INPUTS Leads- Trafego organico'!Y19</f>
        <v>2074</v>
      </c>
      <c r="Z29" s="65">
        <f>'INPUTS Leads- Trafego organico'!Z19</f>
        <v>2166</v>
      </c>
    </row>
    <row r="30" spans="2:26" x14ac:dyDescent="0.25">
      <c r="B30" s="62" t="s">
        <v>21</v>
      </c>
      <c r="C30" s="66">
        <v>0</v>
      </c>
      <c r="D30" s="66">
        <v>1.4084507042253521E-2</v>
      </c>
      <c r="E30" s="66">
        <v>2.1505376344086023E-2</v>
      </c>
      <c r="F30" s="66">
        <v>2.3148148148148147E-2</v>
      </c>
      <c r="G30" s="66">
        <v>2.2222222222222223E-2</v>
      </c>
      <c r="H30" s="66">
        <v>3.64741641337386E-2</v>
      </c>
      <c r="I30" s="66">
        <v>5.4421768707482991E-2</v>
      </c>
      <c r="J30" s="66">
        <v>0.14461883408071749</v>
      </c>
      <c r="K30" s="66">
        <v>0.1393103448275862</v>
      </c>
      <c r="L30" s="66">
        <v>0.14987714987714987</v>
      </c>
      <c r="M30" s="66">
        <v>0.13513513513513514</v>
      </c>
      <c r="N30" s="66">
        <v>0.10509209100758396</v>
      </c>
      <c r="O30" s="67">
        <f>AVERAGE(N30,M30,L30)</f>
        <v>0.13003479200662299</v>
      </c>
      <c r="P30" s="68">
        <f t="shared" ref="P30:Z30" si="13">AVERAGE(O30,N30,M30)</f>
        <v>0.12342067271644737</v>
      </c>
      <c r="Q30" s="68">
        <f t="shared" si="13"/>
        <v>0.11951585191021812</v>
      </c>
      <c r="R30" s="68">
        <f t="shared" si="13"/>
        <v>0.12432377221109615</v>
      </c>
      <c r="S30" s="68">
        <f t="shared" si="13"/>
        <v>0.12242009894592054</v>
      </c>
      <c r="T30" s="68">
        <f t="shared" si="13"/>
        <v>0.12208657435574494</v>
      </c>
      <c r="U30" s="68">
        <f t="shared" si="13"/>
        <v>0.1229434818375872</v>
      </c>
      <c r="V30" s="68">
        <f t="shared" si="13"/>
        <v>0.12248338504641755</v>
      </c>
      <c r="W30" s="68">
        <f t="shared" si="13"/>
        <v>0.12250448041324991</v>
      </c>
      <c r="X30" s="68">
        <f t="shared" si="13"/>
        <v>0.12264378243241821</v>
      </c>
      <c r="Y30" s="68">
        <f t="shared" si="13"/>
        <v>0.12254388263069521</v>
      </c>
      <c r="Z30" s="68">
        <f t="shared" si="13"/>
        <v>0.1225640484921211</v>
      </c>
    </row>
    <row r="31" spans="2:26" s="4" customFormat="1" x14ac:dyDescent="0.25">
      <c r="B31" s="58" t="str">
        <f>SUBSTITUTE(CONCATENATE("Total de vendas",B28),"5.","")</f>
        <v>Total de vendas Orgânico</v>
      </c>
      <c r="C31" s="58">
        <f>C29*C30</f>
        <v>0</v>
      </c>
      <c r="D31" s="58">
        <f>D29*D30</f>
        <v>2</v>
      </c>
      <c r="E31" s="58">
        <f t="shared" ref="E31:N31" si="14">E29*E30</f>
        <v>6.0000000000000009</v>
      </c>
      <c r="F31" s="58">
        <f t="shared" si="14"/>
        <v>5</v>
      </c>
      <c r="G31" s="58">
        <f t="shared" si="14"/>
        <v>6</v>
      </c>
      <c r="H31" s="58">
        <f t="shared" si="14"/>
        <v>12</v>
      </c>
      <c r="I31" s="58">
        <f t="shared" si="14"/>
        <v>8</v>
      </c>
      <c r="J31" s="58">
        <f t="shared" si="14"/>
        <v>129</v>
      </c>
      <c r="K31" s="58">
        <f t="shared" si="14"/>
        <v>100.99999999999999</v>
      </c>
      <c r="L31" s="58">
        <f t="shared" si="14"/>
        <v>121.99999999999999</v>
      </c>
      <c r="M31" s="58">
        <f t="shared" si="14"/>
        <v>135</v>
      </c>
      <c r="N31" s="58">
        <f t="shared" si="14"/>
        <v>97</v>
      </c>
      <c r="O31" s="58">
        <f>INT((O29*O30))</f>
        <v>150</v>
      </c>
      <c r="P31" s="58">
        <f t="shared" ref="P31:Z31" si="15">INT((P29*P30))</f>
        <v>154</v>
      </c>
      <c r="Q31" s="58">
        <f t="shared" si="15"/>
        <v>160</v>
      </c>
      <c r="R31" s="58">
        <f t="shared" si="15"/>
        <v>178</v>
      </c>
      <c r="S31" s="58">
        <f t="shared" si="15"/>
        <v>186</v>
      </c>
      <c r="T31" s="58">
        <f t="shared" si="15"/>
        <v>197</v>
      </c>
      <c r="U31" s="58">
        <f t="shared" si="15"/>
        <v>210</v>
      </c>
      <c r="V31" s="58">
        <f t="shared" si="15"/>
        <v>220</v>
      </c>
      <c r="W31" s="58">
        <f t="shared" si="15"/>
        <v>231</v>
      </c>
      <c r="X31" s="58">
        <f t="shared" si="15"/>
        <v>243</v>
      </c>
      <c r="Y31" s="58">
        <f t="shared" si="15"/>
        <v>254</v>
      </c>
      <c r="Z31" s="58">
        <f t="shared" si="15"/>
        <v>265</v>
      </c>
    </row>
    <row r="32" spans="2:26" x14ac:dyDescent="0.25">
      <c r="B32" s="4"/>
    </row>
    <row r="33" spans="2:26" s="4" customFormat="1" x14ac:dyDescent="0.25">
      <c r="B33" s="58" t="s">
        <v>80</v>
      </c>
      <c r="C33" s="63">
        <f>SUM(C9,C14,C19,C24,C29)</f>
        <v>4</v>
      </c>
      <c r="D33" s="63">
        <f t="shared" ref="D33:N33" si="16">SUM(D9,D14,D19,D24,D29)</f>
        <v>239</v>
      </c>
      <c r="E33" s="63">
        <f t="shared" si="16"/>
        <v>386</v>
      </c>
      <c r="F33" s="63">
        <f t="shared" si="16"/>
        <v>312</v>
      </c>
      <c r="G33" s="63">
        <f t="shared" si="16"/>
        <v>416</v>
      </c>
      <c r="H33" s="63">
        <f t="shared" si="16"/>
        <v>445</v>
      </c>
      <c r="I33" s="63">
        <f t="shared" si="16"/>
        <v>200</v>
      </c>
      <c r="J33" s="63">
        <f t="shared" si="16"/>
        <v>1141</v>
      </c>
      <c r="K33" s="63">
        <f t="shared" si="16"/>
        <v>1028</v>
      </c>
      <c r="L33" s="63">
        <f t="shared" si="16"/>
        <v>1174</v>
      </c>
      <c r="M33" s="63">
        <f t="shared" si="16"/>
        <v>1352</v>
      </c>
      <c r="N33" s="63">
        <f t="shared" si="16"/>
        <v>1303</v>
      </c>
      <c r="O33" s="63">
        <f t="shared" ref="O33:Z33" si="17">SUM(O9,O14,O19,O24,O29)</f>
        <v>1568</v>
      </c>
      <c r="P33" s="63">
        <f t="shared" si="17"/>
        <v>1677</v>
      </c>
      <c r="Q33" s="63">
        <f t="shared" si="17"/>
        <v>1789</v>
      </c>
      <c r="R33" s="63">
        <f t="shared" si="17"/>
        <v>1901</v>
      </c>
      <c r="S33" s="63">
        <f t="shared" si="17"/>
        <v>2013</v>
      </c>
      <c r="T33" s="63">
        <f t="shared" si="17"/>
        <v>2126</v>
      </c>
      <c r="U33" s="63">
        <f t="shared" si="17"/>
        <v>2240</v>
      </c>
      <c r="V33" s="63">
        <f t="shared" si="17"/>
        <v>2353</v>
      </c>
      <c r="W33" s="63">
        <f t="shared" si="17"/>
        <v>2468</v>
      </c>
      <c r="X33" s="63">
        <f t="shared" si="17"/>
        <v>2584</v>
      </c>
      <c r="Y33" s="63">
        <f t="shared" si="17"/>
        <v>2706</v>
      </c>
      <c r="Z33" s="63">
        <f t="shared" si="17"/>
        <v>2824</v>
      </c>
    </row>
    <row r="34" spans="2:26" s="4" customFormat="1" x14ac:dyDescent="0.25">
      <c r="B34" s="58" t="s">
        <v>79</v>
      </c>
      <c r="C34" s="63">
        <f>SUM(C11,C16,C21,C26,C31)</f>
        <v>0</v>
      </c>
      <c r="D34" s="63">
        <f t="shared" ref="D34:N34" si="18">SUM(D11,D16,D21,D26,D31)</f>
        <v>2</v>
      </c>
      <c r="E34" s="63">
        <f t="shared" si="18"/>
        <v>9</v>
      </c>
      <c r="F34" s="63">
        <f t="shared" si="18"/>
        <v>7</v>
      </c>
      <c r="G34" s="63">
        <f t="shared" si="18"/>
        <v>14</v>
      </c>
      <c r="H34" s="63">
        <f t="shared" si="18"/>
        <v>18</v>
      </c>
      <c r="I34" s="63">
        <f t="shared" si="18"/>
        <v>11</v>
      </c>
      <c r="J34" s="63">
        <f t="shared" si="18"/>
        <v>152</v>
      </c>
      <c r="K34" s="63">
        <f t="shared" si="18"/>
        <v>149</v>
      </c>
      <c r="L34" s="63">
        <f t="shared" si="18"/>
        <v>167</v>
      </c>
      <c r="M34" s="63">
        <f t="shared" si="18"/>
        <v>183</v>
      </c>
      <c r="N34" s="63">
        <f t="shared" si="18"/>
        <v>130</v>
      </c>
      <c r="O34" s="63">
        <f t="shared" ref="O34:Z34" si="19">SUM(O11,O16,O21,O26,O31)</f>
        <v>196.75</v>
      </c>
      <c r="P34" s="63">
        <f t="shared" si="19"/>
        <v>201.75</v>
      </c>
      <c r="Q34" s="63">
        <f t="shared" si="19"/>
        <v>205.75</v>
      </c>
      <c r="R34" s="63">
        <f t="shared" si="19"/>
        <v>228.875</v>
      </c>
      <c r="S34" s="63">
        <f t="shared" si="19"/>
        <v>237.875</v>
      </c>
      <c r="T34" s="63">
        <f t="shared" si="19"/>
        <v>250.875</v>
      </c>
      <c r="U34" s="63">
        <f t="shared" si="19"/>
        <v>267</v>
      </c>
      <c r="V34" s="63">
        <f t="shared" si="19"/>
        <v>279</v>
      </c>
      <c r="W34" s="63">
        <f t="shared" si="19"/>
        <v>292</v>
      </c>
      <c r="X34" s="63">
        <f t="shared" si="19"/>
        <v>306.125</v>
      </c>
      <c r="Y34" s="63">
        <f t="shared" si="19"/>
        <v>322</v>
      </c>
      <c r="Z34" s="63">
        <f t="shared" si="19"/>
        <v>335.125</v>
      </c>
    </row>
  </sheetData>
  <hyperlinks>
    <hyperlink ref="B2" location="Capa!A1" display="Voltar para o Menu" xr:uid="{DF8F4D0A-C377-4172-9952-BEC50E298DDC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DA8C-945C-D648-819A-F8A2F01D3B4A}">
  <dimension ref="A2:H51"/>
  <sheetViews>
    <sheetView topLeftCell="A13" workbookViewId="0">
      <selection activeCell="C3" sqref="C3"/>
    </sheetView>
  </sheetViews>
  <sheetFormatPr defaultColWidth="11" defaultRowHeight="15.75" x14ac:dyDescent="0.25"/>
  <cols>
    <col min="2" max="2" width="15.125" customWidth="1"/>
    <col min="3" max="6" width="18.375" customWidth="1"/>
    <col min="7" max="7" width="17" customWidth="1"/>
    <col min="8" max="8" width="15.125" customWidth="1"/>
  </cols>
  <sheetData>
    <row r="2" spans="2:7" x14ac:dyDescent="0.25">
      <c r="B2" t="s">
        <v>34</v>
      </c>
    </row>
    <row r="3" spans="2:7" x14ac:dyDescent="0.25">
      <c r="B3" s="1" t="s">
        <v>13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31</v>
      </c>
    </row>
    <row r="4" spans="2:7" x14ac:dyDescent="0.25">
      <c r="B4" s="1" t="s">
        <v>1</v>
      </c>
      <c r="C4" s="1">
        <f>INT(0.92*D4)</f>
        <v>2</v>
      </c>
      <c r="D4" s="1">
        <f>INT(F4/E4)</f>
        <v>3</v>
      </c>
      <c r="E4" s="3">
        <v>0.30000000000000004</v>
      </c>
      <c r="F4" s="8">
        <f>INT(G4*1.05)</f>
        <v>1</v>
      </c>
      <c r="G4" s="1">
        <v>1</v>
      </c>
    </row>
    <row r="5" spans="2:7" x14ac:dyDescent="0.25">
      <c r="B5" s="1" t="s">
        <v>2</v>
      </c>
      <c r="C5" s="1">
        <f t="shared" ref="C5:C15" si="0">INT(0.92*D5)</f>
        <v>56</v>
      </c>
      <c r="D5" s="1">
        <f t="shared" ref="D5:D15" si="1">INT(F5/E5)</f>
        <v>61</v>
      </c>
      <c r="E5" s="3">
        <v>0.31</v>
      </c>
      <c r="F5" s="8">
        <f t="shared" ref="F5:F15" si="2">INT(G5*1.05)</f>
        <v>19</v>
      </c>
      <c r="G5" s="1">
        <v>19</v>
      </c>
    </row>
    <row r="6" spans="2:7" x14ac:dyDescent="0.25">
      <c r="B6" s="1" t="s">
        <v>3</v>
      </c>
      <c r="C6" s="1">
        <f t="shared" si="0"/>
        <v>67</v>
      </c>
      <c r="D6" s="1">
        <f t="shared" si="1"/>
        <v>73</v>
      </c>
      <c r="E6" s="3">
        <v>0.33999999999999997</v>
      </c>
      <c r="F6" s="8">
        <f t="shared" si="2"/>
        <v>25</v>
      </c>
      <c r="G6" s="1">
        <v>24</v>
      </c>
    </row>
    <row r="7" spans="2:7" x14ac:dyDescent="0.25">
      <c r="B7" s="1" t="s">
        <v>4</v>
      </c>
      <c r="C7" s="1">
        <f t="shared" si="0"/>
        <v>66</v>
      </c>
      <c r="D7" s="1">
        <f t="shared" si="1"/>
        <v>72</v>
      </c>
      <c r="E7" s="3">
        <v>0.33</v>
      </c>
      <c r="F7" s="8">
        <f t="shared" si="2"/>
        <v>24</v>
      </c>
      <c r="G7" s="1">
        <v>23</v>
      </c>
    </row>
    <row r="8" spans="2:7" x14ac:dyDescent="0.25">
      <c r="B8" s="1" t="s">
        <v>5</v>
      </c>
      <c r="C8" s="1">
        <f t="shared" si="0"/>
        <v>88</v>
      </c>
      <c r="D8" s="1">
        <f t="shared" si="1"/>
        <v>96</v>
      </c>
      <c r="E8" s="3">
        <v>0.32</v>
      </c>
      <c r="F8" s="8">
        <f t="shared" si="2"/>
        <v>31</v>
      </c>
      <c r="G8" s="1">
        <v>30</v>
      </c>
    </row>
    <row r="9" spans="2:7" x14ac:dyDescent="0.25">
      <c r="B9" s="1" t="s">
        <v>6</v>
      </c>
      <c r="C9" s="1">
        <f t="shared" si="0"/>
        <v>115</v>
      </c>
      <c r="D9" s="1">
        <f t="shared" si="1"/>
        <v>126</v>
      </c>
      <c r="E9" s="3">
        <v>0.30000000000000004</v>
      </c>
      <c r="F9" s="8">
        <f t="shared" si="2"/>
        <v>38</v>
      </c>
      <c r="G9" s="1">
        <v>37</v>
      </c>
    </row>
    <row r="10" spans="2:7" x14ac:dyDescent="0.25">
      <c r="B10" s="1" t="s">
        <v>7</v>
      </c>
      <c r="C10" s="1">
        <f t="shared" si="0"/>
        <v>33</v>
      </c>
      <c r="D10" s="1">
        <f t="shared" si="1"/>
        <v>36</v>
      </c>
      <c r="E10" s="3">
        <v>0.33</v>
      </c>
      <c r="F10" s="8">
        <f t="shared" si="2"/>
        <v>12</v>
      </c>
      <c r="G10" s="1">
        <v>12</v>
      </c>
    </row>
    <row r="11" spans="2:7" x14ac:dyDescent="0.25">
      <c r="B11" s="1" t="s">
        <v>8</v>
      </c>
      <c r="C11" s="1">
        <f t="shared" si="0"/>
        <v>189</v>
      </c>
      <c r="D11" s="1">
        <f t="shared" si="1"/>
        <v>206</v>
      </c>
      <c r="E11" s="3">
        <v>0.31</v>
      </c>
      <c r="F11" s="8">
        <f t="shared" si="2"/>
        <v>64</v>
      </c>
      <c r="G11" s="1">
        <v>61</v>
      </c>
    </row>
    <row r="12" spans="2:7" x14ac:dyDescent="0.25">
      <c r="B12" s="1" t="s">
        <v>9</v>
      </c>
      <c r="C12" s="1">
        <f t="shared" si="0"/>
        <v>203</v>
      </c>
      <c r="D12" s="1">
        <f t="shared" si="1"/>
        <v>221</v>
      </c>
      <c r="E12" s="3">
        <v>0.32</v>
      </c>
      <c r="F12" s="8">
        <f t="shared" si="2"/>
        <v>71</v>
      </c>
      <c r="G12" s="1">
        <v>68</v>
      </c>
    </row>
    <row r="13" spans="2:7" x14ac:dyDescent="0.25">
      <c r="B13" s="1" t="s">
        <v>10</v>
      </c>
      <c r="C13" s="1">
        <f t="shared" si="0"/>
        <v>228</v>
      </c>
      <c r="D13" s="1">
        <f t="shared" si="1"/>
        <v>248</v>
      </c>
      <c r="E13" s="3">
        <v>0.31</v>
      </c>
      <c r="F13" s="8">
        <f t="shared" si="2"/>
        <v>77</v>
      </c>
      <c r="G13" s="1">
        <v>74</v>
      </c>
    </row>
    <row r="14" spans="2:7" x14ac:dyDescent="0.25">
      <c r="B14" s="1" t="s">
        <v>11</v>
      </c>
      <c r="C14" s="1">
        <f t="shared" si="0"/>
        <v>159</v>
      </c>
      <c r="D14" s="1">
        <f t="shared" si="1"/>
        <v>173</v>
      </c>
      <c r="E14" s="3">
        <v>0.30000000000000004</v>
      </c>
      <c r="F14" s="8">
        <f t="shared" si="2"/>
        <v>52</v>
      </c>
      <c r="G14" s="1">
        <v>50</v>
      </c>
    </row>
    <row r="15" spans="2:7" x14ac:dyDescent="0.25">
      <c r="B15" s="1" t="s">
        <v>12</v>
      </c>
      <c r="C15" s="1">
        <f t="shared" si="0"/>
        <v>281</v>
      </c>
      <c r="D15" s="1">
        <f t="shared" si="1"/>
        <v>306</v>
      </c>
      <c r="E15" s="3">
        <v>0.32</v>
      </c>
      <c r="F15" s="8">
        <f t="shared" si="2"/>
        <v>98</v>
      </c>
      <c r="G15" s="1">
        <v>94</v>
      </c>
    </row>
    <row r="19" spans="2:7" x14ac:dyDescent="0.25">
      <c r="B19" t="s">
        <v>35</v>
      </c>
    </row>
    <row r="20" spans="2:7" x14ac:dyDescent="0.25">
      <c r="B20" s="1" t="s">
        <v>13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31</v>
      </c>
    </row>
    <row r="21" spans="2:7" x14ac:dyDescent="0.25">
      <c r="B21" s="1" t="s">
        <v>1</v>
      </c>
      <c r="C21" s="1">
        <f>INT(0.92*D21)</f>
        <v>9</v>
      </c>
      <c r="D21" s="1">
        <f>INT(F21/E21)</f>
        <v>10</v>
      </c>
      <c r="E21" s="3">
        <v>0.2</v>
      </c>
      <c r="F21" s="8">
        <f>INT(G21*1.05)</f>
        <v>2</v>
      </c>
      <c r="G21" s="1">
        <v>2</v>
      </c>
    </row>
    <row r="22" spans="2:7" x14ac:dyDescent="0.25">
      <c r="B22" s="1" t="s">
        <v>2</v>
      </c>
      <c r="C22" s="1">
        <f t="shared" ref="C22:C32" si="3">INT(0.92*D22)</f>
        <v>652</v>
      </c>
      <c r="D22" s="1">
        <f t="shared" ref="D22:D32" si="4">INT(F22/E22)</f>
        <v>709</v>
      </c>
      <c r="E22" s="3">
        <v>0.21</v>
      </c>
      <c r="F22" s="8">
        <f t="shared" ref="F22:F32" si="5">INT(G22*1.05)</f>
        <v>149</v>
      </c>
      <c r="G22" s="1">
        <v>142</v>
      </c>
    </row>
    <row r="23" spans="2:7" x14ac:dyDescent="0.25">
      <c r="B23" s="1" t="s">
        <v>3</v>
      </c>
      <c r="C23" s="1">
        <f t="shared" si="3"/>
        <v>1118</v>
      </c>
      <c r="D23" s="1">
        <f t="shared" si="4"/>
        <v>1216</v>
      </c>
      <c r="E23" s="3">
        <v>0.24</v>
      </c>
      <c r="F23" s="8">
        <f t="shared" si="5"/>
        <v>292</v>
      </c>
      <c r="G23" s="1">
        <v>279</v>
      </c>
    </row>
    <row r="24" spans="2:7" x14ac:dyDescent="0.25">
      <c r="B24" s="1" t="s">
        <v>4</v>
      </c>
      <c r="C24" s="1">
        <f t="shared" si="3"/>
        <v>903</v>
      </c>
      <c r="D24" s="1">
        <f t="shared" si="4"/>
        <v>982</v>
      </c>
      <c r="E24" s="3">
        <v>0.23</v>
      </c>
      <c r="F24" s="8">
        <f t="shared" si="5"/>
        <v>226</v>
      </c>
      <c r="G24" s="1">
        <v>216</v>
      </c>
    </row>
    <row r="25" spans="2:7" x14ac:dyDescent="0.25">
      <c r="B25" s="1" t="s">
        <v>5</v>
      </c>
      <c r="C25" s="1">
        <f t="shared" si="3"/>
        <v>1183</v>
      </c>
      <c r="D25" s="1">
        <f t="shared" si="4"/>
        <v>1286</v>
      </c>
      <c r="E25" s="3">
        <v>0.22</v>
      </c>
      <c r="F25" s="8">
        <f t="shared" si="5"/>
        <v>283</v>
      </c>
      <c r="G25" s="1">
        <v>270</v>
      </c>
    </row>
    <row r="26" spans="2:7" x14ac:dyDescent="0.25">
      <c r="B26" s="1" t="s">
        <v>6</v>
      </c>
      <c r="C26" s="1">
        <f t="shared" si="3"/>
        <v>1587</v>
      </c>
      <c r="D26" s="1">
        <f t="shared" si="4"/>
        <v>1725</v>
      </c>
      <c r="E26" s="3">
        <v>0.2</v>
      </c>
      <c r="F26" s="8">
        <f t="shared" si="5"/>
        <v>345</v>
      </c>
      <c r="G26" s="1">
        <v>329</v>
      </c>
    </row>
    <row r="27" spans="2:7" x14ac:dyDescent="0.25">
      <c r="B27" s="1" t="s">
        <v>7</v>
      </c>
      <c r="C27" s="1">
        <f t="shared" si="3"/>
        <v>615</v>
      </c>
      <c r="D27" s="1">
        <f t="shared" si="4"/>
        <v>669</v>
      </c>
      <c r="E27" s="3">
        <v>0.23</v>
      </c>
      <c r="F27" s="8">
        <f t="shared" si="5"/>
        <v>154</v>
      </c>
      <c r="G27" s="1">
        <v>147</v>
      </c>
    </row>
    <row r="28" spans="2:7" x14ac:dyDescent="0.25">
      <c r="B28" s="1" t="s">
        <v>8</v>
      </c>
      <c r="C28" s="1">
        <f t="shared" si="3"/>
        <v>4100</v>
      </c>
      <c r="D28" s="1">
        <f t="shared" si="4"/>
        <v>4457</v>
      </c>
      <c r="E28" s="3">
        <v>0.21</v>
      </c>
      <c r="F28" s="8">
        <f t="shared" si="5"/>
        <v>936</v>
      </c>
      <c r="G28" s="1">
        <v>892</v>
      </c>
    </row>
    <row r="29" spans="2:7" x14ac:dyDescent="0.25">
      <c r="B29" s="1" t="s">
        <v>9</v>
      </c>
      <c r="C29" s="1">
        <f t="shared" si="3"/>
        <v>3182</v>
      </c>
      <c r="D29" s="1">
        <f t="shared" si="4"/>
        <v>3459</v>
      </c>
      <c r="E29" s="3">
        <v>0.22</v>
      </c>
      <c r="F29" s="8">
        <f t="shared" si="5"/>
        <v>761</v>
      </c>
      <c r="G29" s="1">
        <v>725</v>
      </c>
    </row>
    <row r="30" spans="2:7" x14ac:dyDescent="0.25">
      <c r="B30" s="1" t="s">
        <v>10</v>
      </c>
      <c r="C30" s="1">
        <f t="shared" si="3"/>
        <v>3740</v>
      </c>
      <c r="D30" s="1">
        <f t="shared" si="4"/>
        <v>4066</v>
      </c>
      <c r="E30" s="3">
        <v>0.21</v>
      </c>
      <c r="F30" s="8">
        <f t="shared" si="5"/>
        <v>854</v>
      </c>
      <c r="G30" s="1">
        <v>814</v>
      </c>
    </row>
    <row r="31" spans="2:7" x14ac:dyDescent="0.25">
      <c r="B31" s="1" t="s">
        <v>11</v>
      </c>
      <c r="C31" s="1">
        <f t="shared" si="3"/>
        <v>4820</v>
      </c>
      <c r="D31" s="1">
        <f t="shared" si="4"/>
        <v>5240</v>
      </c>
      <c r="E31" s="3">
        <v>0.2</v>
      </c>
      <c r="F31" s="8">
        <f t="shared" si="5"/>
        <v>1048</v>
      </c>
      <c r="G31" s="1">
        <v>999</v>
      </c>
    </row>
    <row r="32" spans="2:7" x14ac:dyDescent="0.25">
      <c r="B32" s="1" t="s">
        <v>12</v>
      </c>
      <c r="C32" s="1">
        <f t="shared" si="3"/>
        <v>4051</v>
      </c>
      <c r="D32" s="1">
        <f t="shared" si="4"/>
        <v>4404</v>
      </c>
      <c r="E32" s="3">
        <v>0.22</v>
      </c>
      <c r="F32" s="8">
        <f t="shared" si="5"/>
        <v>969</v>
      </c>
      <c r="G32" s="1">
        <v>923</v>
      </c>
    </row>
    <row r="34" spans="1:8" x14ac:dyDescent="0.25">
      <c r="A34" s="12"/>
      <c r="B34" s="12"/>
      <c r="C34" s="12"/>
      <c r="D34" s="12"/>
      <c r="E34" s="12"/>
      <c r="F34" s="12"/>
      <c r="G34" s="12"/>
      <c r="H34" s="12"/>
    </row>
    <row r="35" spans="1:8" x14ac:dyDescent="0.25">
      <c r="A35" s="12"/>
      <c r="B35" s="7"/>
      <c r="C35" s="12"/>
      <c r="D35" s="12"/>
      <c r="E35" s="12"/>
      <c r="F35" s="12"/>
      <c r="G35" s="12"/>
      <c r="H35" s="12"/>
    </row>
    <row r="36" spans="1:8" x14ac:dyDescent="0.25">
      <c r="A36" s="12"/>
      <c r="B36" s="12"/>
      <c r="C36" s="12"/>
      <c r="D36" s="12"/>
      <c r="E36" s="12"/>
      <c r="F36" s="12"/>
      <c r="G36" s="12"/>
      <c r="H36" s="12"/>
    </row>
    <row r="37" spans="1:8" x14ac:dyDescent="0.25">
      <c r="A37" s="12"/>
      <c r="B37" s="13"/>
      <c r="C37" s="12"/>
      <c r="D37" s="12"/>
      <c r="E37" s="14"/>
      <c r="F37" s="15"/>
      <c r="G37" s="12"/>
      <c r="H37" s="12"/>
    </row>
    <row r="38" spans="1:8" x14ac:dyDescent="0.25">
      <c r="A38" s="12"/>
      <c r="B38" s="13"/>
      <c r="C38" s="12"/>
      <c r="D38" s="12"/>
      <c r="E38" s="14"/>
      <c r="F38" s="15"/>
      <c r="G38" s="16"/>
      <c r="H38" s="12"/>
    </row>
    <row r="39" spans="1:8" x14ac:dyDescent="0.25">
      <c r="A39" s="12"/>
      <c r="B39" s="13"/>
      <c r="C39" s="12"/>
      <c r="D39" s="12"/>
      <c r="E39" s="14"/>
      <c r="F39" s="15"/>
      <c r="G39" s="16"/>
      <c r="H39" s="12"/>
    </row>
    <row r="40" spans="1:8" x14ac:dyDescent="0.25">
      <c r="A40" s="12"/>
      <c r="B40" s="13"/>
      <c r="C40" s="12"/>
      <c r="D40" s="12"/>
      <c r="E40" s="14"/>
      <c r="F40" s="15"/>
      <c r="G40" s="16"/>
      <c r="H40" s="12"/>
    </row>
    <row r="41" spans="1:8" x14ac:dyDescent="0.25">
      <c r="A41" s="12"/>
      <c r="B41" s="13"/>
      <c r="C41" s="12"/>
      <c r="D41" s="12"/>
      <c r="E41" s="14"/>
      <c r="F41" s="15"/>
      <c r="G41" s="16"/>
      <c r="H41" s="12"/>
    </row>
    <row r="42" spans="1:8" x14ac:dyDescent="0.25">
      <c r="A42" s="12"/>
      <c r="B42" s="13"/>
      <c r="C42" s="12"/>
      <c r="D42" s="12"/>
      <c r="E42" s="14"/>
      <c r="F42" s="15"/>
      <c r="G42" s="16"/>
      <c r="H42" s="12"/>
    </row>
    <row r="43" spans="1:8" x14ac:dyDescent="0.25">
      <c r="A43" s="12"/>
      <c r="B43" s="13"/>
      <c r="C43" s="12"/>
      <c r="D43" s="12"/>
      <c r="E43" s="14"/>
      <c r="F43" s="15"/>
      <c r="G43" s="16"/>
      <c r="H43" s="12"/>
    </row>
    <row r="44" spans="1:8" x14ac:dyDescent="0.25">
      <c r="A44" s="12"/>
      <c r="B44" s="13"/>
      <c r="C44" s="12"/>
      <c r="D44" s="12"/>
      <c r="E44" s="14"/>
      <c r="F44" s="15"/>
      <c r="G44" s="16"/>
      <c r="H44" s="12"/>
    </row>
    <row r="45" spans="1:8" x14ac:dyDescent="0.25">
      <c r="A45" s="12"/>
      <c r="B45" s="13"/>
      <c r="C45" s="12"/>
      <c r="D45" s="12"/>
      <c r="E45" s="14"/>
      <c r="F45" s="15"/>
      <c r="G45" s="16"/>
      <c r="H45" s="12"/>
    </row>
    <row r="46" spans="1:8" x14ac:dyDescent="0.25">
      <c r="A46" s="12"/>
      <c r="B46" s="13"/>
      <c r="C46" s="12"/>
      <c r="D46" s="12"/>
      <c r="E46" s="14"/>
      <c r="F46" s="15"/>
      <c r="G46" s="16"/>
      <c r="H46" s="12"/>
    </row>
    <row r="47" spans="1:8" x14ac:dyDescent="0.25">
      <c r="A47" s="12"/>
      <c r="B47" s="13"/>
      <c r="C47" s="12"/>
      <c r="D47" s="12"/>
      <c r="E47" s="14"/>
      <c r="F47" s="15"/>
      <c r="G47" s="16"/>
      <c r="H47" s="12"/>
    </row>
    <row r="48" spans="1:8" x14ac:dyDescent="0.25">
      <c r="A48" s="12"/>
      <c r="B48" s="13"/>
      <c r="C48" s="12"/>
      <c r="D48" s="12"/>
      <c r="E48" s="14"/>
      <c r="F48" s="15"/>
      <c r="G48" s="16"/>
      <c r="H48" s="12"/>
    </row>
    <row r="49" spans="1:8" x14ac:dyDescent="0.25">
      <c r="A49" s="12"/>
      <c r="B49" s="12"/>
      <c r="C49" s="12"/>
      <c r="D49" s="12"/>
      <c r="E49" s="12"/>
      <c r="F49" s="12"/>
      <c r="G49" s="12"/>
      <c r="H49" s="12"/>
    </row>
    <row r="50" spans="1:8" x14ac:dyDescent="0.25">
      <c r="A50" s="12"/>
      <c r="B50" s="12"/>
      <c r="C50" s="12"/>
      <c r="D50" s="12"/>
      <c r="E50" s="12"/>
      <c r="F50" s="12"/>
      <c r="G50" s="12"/>
      <c r="H50" s="12"/>
    </row>
    <row r="51" spans="1:8" x14ac:dyDescent="0.25">
      <c r="A51" s="12"/>
      <c r="B51" s="12"/>
      <c r="C51" s="12"/>
      <c r="D51" s="12"/>
      <c r="E51" s="12"/>
      <c r="F51" s="12"/>
      <c r="G51" s="12"/>
      <c r="H51" s="1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8605-464D-4EA6-BCE1-2DFB546567FD}">
  <dimension ref="A2:K44"/>
  <sheetViews>
    <sheetView topLeftCell="A7" zoomScale="80" zoomScaleNormal="80" workbookViewId="0">
      <selection activeCell="E21" sqref="E21:F22"/>
    </sheetView>
  </sheetViews>
  <sheetFormatPr defaultRowHeight="15" x14ac:dyDescent="0.25"/>
  <cols>
    <col min="1" max="1" width="4.375" style="18" customWidth="1"/>
    <col min="2" max="2" width="18.75" style="18" customWidth="1"/>
    <col min="3" max="4" width="16.375" style="18" customWidth="1"/>
    <col min="5" max="5" width="16.5" style="18" customWidth="1"/>
    <col min="6" max="6" width="19.125" style="18" customWidth="1"/>
    <col min="7" max="7" width="17.5" style="18" customWidth="1"/>
    <col min="8" max="11" width="15.75" style="18" customWidth="1"/>
    <col min="12" max="16384" width="9" style="18"/>
  </cols>
  <sheetData>
    <row r="2" spans="2:3" ht="21" x14ac:dyDescent="0.35">
      <c r="B2" s="17" t="s">
        <v>42</v>
      </c>
    </row>
    <row r="4" spans="2:3" x14ac:dyDescent="0.25">
      <c r="B4" s="19" t="s">
        <v>43</v>
      </c>
      <c r="C4" s="19" t="s">
        <v>44</v>
      </c>
    </row>
    <row r="5" spans="2:3" x14ac:dyDescent="0.25">
      <c r="B5" s="20" t="s">
        <v>1</v>
      </c>
      <c r="C5" s="19">
        <v>2</v>
      </c>
    </row>
    <row r="6" spans="2:3" x14ac:dyDescent="0.25">
      <c r="B6" s="20" t="s">
        <v>2</v>
      </c>
      <c r="C6" s="19">
        <v>142</v>
      </c>
    </row>
    <row r="7" spans="2:3" x14ac:dyDescent="0.25">
      <c r="B7" s="20" t="s">
        <v>3</v>
      </c>
      <c r="C7" s="19">
        <v>279</v>
      </c>
    </row>
    <row r="8" spans="2:3" x14ac:dyDescent="0.25">
      <c r="B8" s="20" t="s">
        <v>4</v>
      </c>
      <c r="C8" s="19">
        <v>216</v>
      </c>
    </row>
    <row r="9" spans="2:3" x14ac:dyDescent="0.25">
      <c r="B9" s="20" t="s">
        <v>5</v>
      </c>
      <c r="C9" s="19">
        <v>270</v>
      </c>
    </row>
    <row r="10" spans="2:3" x14ac:dyDescent="0.25">
      <c r="B10" s="20" t="s">
        <v>6</v>
      </c>
      <c r="C10" s="19">
        <v>329</v>
      </c>
    </row>
    <row r="11" spans="2:3" x14ac:dyDescent="0.25">
      <c r="B11" s="20" t="s">
        <v>7</v>
      </c>
      <c r="C11" s="19">
        <v>147</v>
      </c>
    </row>
    <row r="12" spans="2:3" x14ac:dyDescent="0.25">
      <c r="B12" s="20" t="s">
        <v>8</v>
      </c>
      <c r="C12" s="19">
        <v>892</v>
      </c>
    </row>
    <row r="13" spans="2:3" x14ac:dyDescent="0.25">
      <c r="B13" s="20" t="s">
        <v>9</v>
      </c>
      <c r="C13" s="19">
        <v>725</v>
      </c>
    </row>
    <row r="14" spans="2:3" x14ac:dyDescent="0.25">
      <c r="B14" s="20" t="s">
        <v>10</v>
      </c>
      <c r="C14" s="19">
        <v>814</v>
      </c>
    </row>
    <row r="15" spans="2:3" x14ac:dyDescent="0.25">
      <c r="B15" s="20" t="s">
        <v>11</v>
      </c>
      <c r="C15" s="19">
        <v>999</v>
      </c>
    </row>
    <row r="16" spans="2:3" x14ac:dyDescent="0.25">
      <c r="B16" s="20" t="s">
        <v>12</v>
      </c>
      <c r="C16" s="19">
        <v>923</v>
      </c>
    </row>
    <row r="19" spans="1:11" x14ac:dyDescent="0.25">
      <c r="B19" s="21" t="s">
        <v>45</v>
      </c>
      <c r="F19" s="22" t="s">
        <v>46</v>
      </c>
    </row>
    <row r="21" spans="1:11" x14ac:dyDescent="0.25">
      <c r="B21" s="19" t="s">
        <v>47</v>
      </c>
      <c r="C21" s="19">
        <v>0.42490897299659136</v>
      </c>
      <c r="E21" s="19" t="s">
        <v>48</v>
      </c>
      <c r="F21" s="19">
        <v>91.382000000000005</v>
      </c>
    </row>
    <row r="22" spans="1:11" x14ac:dyDescent="0.25">
      <c r="B22" s="19" t="s">
        <v>49</v>
      </c>
      <c r="C22" s="23">
        <v>0.57509102762202957</v>
      </c>
      <c r="E22" s="19" t="s">
        <v>50</v>
      </c>
      <c r="F22" s="19">
        <v>-26.835999999999999</v>
      </c>
    </row>
    <row r="23" spans="1:11" x14ac:dyDescent="0.25">
      <c r="C23" s="18">
        <f>SUM(C21:C22)</f>
        <v>1.0000000006186209</v>
      </c>
    </row>
    <row r="25" spans="1:11" x14ac:dyDescent="0.25">
      <c r="B25" s="24" t="s">
        <v>13</v>
      </c>
      <c r="C25" s="24" t="s">
        <v>31</v>
      </c>
      <c r="D25" s="24" t="s">
        <v>51</v>
      </c>
      <c r="E25" s="24" t="s">
        <v>52</v>
      </c>
      <c r="F25" s="24" t="s">
        <v>53</v>
      </c>
      <c r="G25" s="24" t="s">
        <v>54</v>
      </c>
      <c r="H25" s="24" t="s">
        <v>55</v>
      </c>
      <c r="I25" s="24" t="s">
        <v>56</v>
      </c>
      <c r="J25" s="24" t="s">
        <v>57</v>
      </c>
      <c r="K25" s="24" t="s">
        <v>58</v>
      </c>
    </row>
    <row r="26" spans="1:11" x14ac:dyDescent="0.25">
      <c r="A26" s="18">
        <v>1</v>
      </c>
      <c r="B26" s="25" t="s">
        <v>1</v>
      </c>
      <c r="C26" s="18">
        <f>C5</f>
        <v>2</v>
      </c>
    </row>
    <row r="27" spans="1:11" x14ac:dyDescent="0.25">
      <c r="A27" s="18">
        <v>2</v>
      </c>
      <c r="B27" s="25" t="s">
        <v>2</v>
      </c>
      <c r="C27" s="18">
        <f t="shared" ref="C27:C37" si="0">C6</f>
        <v>142</v>
      </c>
    </row>
    <row r="28" spans="1:11" ht="15.75" x14ac:dyDescent="0.25">
      <c r="A28" s="18">
        <v>3</v>
      </c>
      <c r="B28" s="25" t="s">
        <v>3</v>
      </c>
      <c r="C28" s="18">
        <f t="shared" si="0"/>
        <v>279</v>
      </c>
      <c r="D28" s="26">
        <f>C27</f>
        <v>142</v>
      </c>
      <c r="E28" s="26">
        <f>($F$21*A28)+$F$22</f>
        <v>247.31</v>
      </c>
      <c r="F28" s="26">
        <f>D28-C28</f>
        <v>-137</v>
      </c>
      <c r="G28" s="26">
        <f>E28-C28</f>
        <v>-31.689999999999998</v>
      </c>
      <c r="H28" s="26">
        <f>ABS(F28)</f>
        <v>137</v>
      </c>
      <c r="I28" s="26">
        <f>ABS(G28)</f>
        <v>31.689999999999998</v>
      </c>
      <c r="J28" s="27">
        <f>H28/C28</f>
        <v>0.49103942652329752</v>
      </c>
      <c r="K28" s="27">
        <f>I28/C28</f>
        <v>0.113584229390681</v>
      </c>
    </row>
    <row r="29" spans="1:11" ht="15.75" x14ac:dyDescent="0.25">
      <c r="A29" s="18">
        <v>4</v>
      </c>
      <c r="B29" s="25" t="s">
        <v>4</v>
      </c>
      <c r="C29" s="18">
        <f t="shared" si="0"/>
        <v>216</v>
      </c>
      <c r="D29" s="26">
        <f>($C$22*C28)+($C$21*C27)</f>
        <v>220.78747087206222</v>
      </c>
      <c r="E29" s="26">
        <f t="shared" ref="E29:E37" si="1">($F$21*A29)+$F$22</f>
        <v>338.69200000000001</v>
      </c>
      <c r="F29" s="26">
        <f t="shared" ref="F29:F37" si="2">D29-C29</f>
        <v>4.7874708720622152</v>
      </c>
      <c r="G29" s="26">
        <f t="shared" ref="G29:G37" si="3">E29-C29</f>
        <v>122.69200000000001</v>
      </c>
      <c r="H29" s="26">
        <f t="shared" ref="H29:I37" si="4">ABS(F29)</f>
        <v>4.7874708720622152</v>
      </c>
      <c r="I29" s="26">
        <f t="shared" si="4"/>
        <v>122.69200000000001</v>
      </c>
      <c r="J29" s="27">
        <f t="shared" ref="J29:J37" si="5">H29/C29</f>
        <v>2.2164217000288033E-2</v>
      </c>
      <c r="K29" s="27">
        <f>I29/C29</f>
        <v>0.56801851851851859</v>
      </c>
    </row>
    <row r="30" spans="1:11" ht="15.75" x14ac:dyDescent="0.25">
      <c r="A30" s="18">
        <v>5</v>
      </c>
      <c r="B30" s="25" t="s">
        <v>5</v>
      </c>
      <c r="C30" s="18">
        <f t="shared" si="0"/>
        <v>270</v>
      </c>
      <c r="D30" s="26">
        <f t="shared" ref="D30:D32" si="6">($C$22*C29)+($C$21*C28)</f>
        <v>242.76926543240739</v>
      </c>
      <c r="E30" s="26">
        <f>($F$21*A30)+$F$22</f>
        <v>430.07400000000001</v>
      </c>
      <c r="F30" s="26">
        <f t="shared" si="2"/>
        <v>-27.230734567592606</v>
      </c>
      <c r="G30" s="26">
        <f t="shared" si="3"/>
        <v>160.07400000000001</v>
      </c>
      <c r="H30" s="26">
        <f t="shared" si="4"/>
        <v>27.230734567592606</v>
      </c>
      <c r="I30" s="26">
        <f t="shared" si="4"/>
        <v>160.07400000000001</v>
      </c>
      <c r="J30" s="27">
        <f t="shared" si="5"/>
        <v>0.10085457247256521</v>
      </c>
      <c r="K30" s="27">
        <f t="shared" ref="K30:K37" si="7">I30/C30</f>
        <v>0.59286666666666676</v>
      </c>
    </row>
    <row r="31" spans="1:11" ht="15.75" x14ac:dyDescent="0.25">
      <c r="A31" s="18">
        <v>6</v>
      </c>
      <c r="B31" s="25" t="s">
        <v>6</v>
      </c>
      <c r="C31" s="18">
        <f t="shared" si="0"/>
        <v>329</v>
      </c>
      <c r="D31" s="26">
        <f t="shared" si="6"/>
        <v>247.05491562521172</v>
      </c>
      <c r="E31" s="26">
        <f t="shared" si="1"/>
        <v>521.45600000000002</v>
      </c>
      <c r="F31" s="26">
        <f t="shared" si="2"/>
        <v>-81.94508437478828</v>
      </c>
      <c r="G31" s="26">
        <f t="shared" si="3"/>
        <v>192.45600000000002</v>
      </c>
      <c r="H31" s="26">
        <f t="shared" si="4"/>
        <v>81.94508437478828</v>
      </c>
      <c r="I31" s="26">
        <f t="shared" si="4"/>
        <v>192.45600000000002</v>
      </c>
      <c r="J31" s="27">
        <f t="shared" si="5"/>
        <v>0.24907320478659051</v>
      </c>
      <c r="K31" s="27">
        <f t="shared" si="7"/>
        <v>0.58497264437689978</v>
      </c>
    </row>
    <row r="32" spans="1:11" ht="15.75" x14ac:dyDescent="0.25">
      <c r="A32" s="18">
        <v>7</v>
      </c>
      <c r="B32" s="25" t="s">
        <v>7</v>
      </c>
      <c r="C32" s="18">
        <f t="shared" si="0"/>
        <v>147</v>
      </c>
      <c r="D32" s="26">
        <f t="shared" si="6"/>
        <v>303.9303707967274</v>
      </c>
      <c r="E32" s="26">
        <f t="shared" si="1"/>
        <v>612.83799999999997</v>
      </c>
      <c r="F32" s="26">
        <f t="shared" si="2"/>
        <v>156.9303707967274</v>
      </c>
      <c r="G32" s="26">
        <f t="shared" si="3"/>
        <v>465.83799999999997</v>
      </c>
      <c r="H32" s="26">
        <f t="shared" si="4"/>
        <v>156.9303707967274</v>
      </c>
      <c r="I32" s="26">
        <f t="shared" si="4"/>
        <v>465.83799999999997</v>
      </c>
      <c r="J32" s="27">
        <f t="shared" si="5"/>
        <v>1.0675535428348804</v>
      </c>
      <c r="K32" s="27">
        <f t="shared" si="7"/>
        <v>3.1689659863945576</v>
      </c>
    </row>
    <row r="33" spans="1:11" ht="15.75" x14ac:dyDescent="0.25">
      <c r="A33" s="18">
        <v>8</v>
      </c>
      <c r="B33" s="25" t="s">
        <v>8</v>
      </c>
      <c r="C33" s="18">
        <f t="shared" si="0"/>
        <v>892</v>
      </c>
      <c r="D33" s="26">
        <f t="shared" ref="D33:D37" si="8">SUMPRODUCT($C$21:$C$22,C31:C32)</f>
        <v>224.3334331763169</v>
      </c>
      <c r="E33" s="26">
        <f t="shared" si="1"/>
        <v>704.22</v>
      </c>
      <c r="F33" s="26">
        <f t="shared" si="2"/>
        <v>-667.66656682368307</v>
      </c>
      <c r="G33" s="26">
        <f t="shared" si="3"/>
        <v>-187.77999999999997</v>
      </c>
      <c r="H33" s="26">
        <f t="shared" si="4"/>
        <v>667.66656682368307</v>
      </c>
      <c r="I33" s="26">
        <f t="shared" si="4"/>
        <v>187.77999999999997</v>
      </c>
      <c r="J33" s="27">
        <f t="shared" si="5"/>
        <v>0.74850511975749223</v>
      </c>
      <c r="K33" s="27">
        <f t="shared" si="7"/>
        <v>0.21051569506726453</v>
      </c>
    </row>
    <row r="34" spans="1:11" ht="15.75" x14ac:dyDescent="0.25">
      <c r="A34" s="18">
        <v>9</v>
      </c>
      <c r="B34" s="25" t="s">
        <v>9</v>
      </c>
      <c r="C34" s="18">
        <f t="shared" si="0"/>
        <v>725</v>
      </c>
      <c r="D34" s="26">
        <f t="shared" si="8"/>
        <v>575.44281566934933</v>
      </c>
      <c r="E34" s="26">
        <f t="shared" si="1"/>
        <v>795.60200000000009</v>
      </c>
      <c r="F34" s="26">
        <f t="shared" si="2"/>
        <v>-149.55718433065067</v>
      </c>
      <c r="G34" s="26">
        <f t="shared" si="3"/>
        <v>70.602000000000089</v>
      </c>
      <c r="H34" s="26">
        <f t="shared" si="4"/>
        <v>149.55718433065067</v>
      </c>
      <c r="I34" s="26">
        <f t="shared" si="4"/>
        <v>70.602000000000089</v>
      </c>
      <c r="J34" s="27">
        <f t="shared" si="5"/>
        <v>0.20628577149055266</v>
      </c>
      <c r="K34" s="27">
        <f t="shared" si="7"/>
        <v>9.7382068965517363E-2</v>
      </c>
    </row>
    <row r="35" spans="1:11" ht="15.75" x14ac:dyDescent="0.25">
      <c r="A35" s="18">
        <v>10</v>
      </c>
      <c r="B35" s="25" t="s">
        <v>10</v>
      </c>
      <c r="C35" s="18">
        <f t="shared" si="0"/>
        <v>814</v>
      </c>
      <c r="D35" s="26">
        <f t="shared" si="8"/>
        <v>795.95979893893093</v>
      </c>
      <c r="E35" s="26">
        <f t="shared" si="1"/>
        <v>886.98400000000004</v>
      </c>
      <c r="F35" s="26">
        <f t="shared" si="2"/>
        <v>-18.04020106106907</v>
      </c>
      <c r="G35" s="26">
        <f t="shared" si="3"/>
        <v>72.984000000000037</v>
      </c>
      <c r="H35" s="26">
        <f t="shared" si="4"/>
        <v>18.04020106106907</v>
      </c>
      <c r="I35" s="26">
        <f t="shared" si="4"/>
        <v>72.984000000000037</v>
      </c>
      <c r="J35" s="27">
        <f t="shared" si="5"/>
        <v>2.2162409165932519E-2</v>
      </c>
      <c r="K35" s="27">
        <f t="shared" si="7"/>
        <v>8.9660933660933709E-2</v>
      </c>
    </row>
    <row r="36" spans="1:11" ht="15.75" x14ac:dyDescent="0.25">
      <c r="A36" s="18">
        <v>11</v>
      </c>
      <c r="B36" s="25" t="s">
        <v>11</v>
      </c>
      <c r="C36" s="18">
        <f t="shared" si="0"/>
        <v>999</v>
      </c>
      <c r="D36" s="26">
        <f t="shared" si="8"/>
        <v>776.18310190686088</v>
      </c>
      <c r="E36" s="26">
        <f t="shared" si="1"/>
        <v>978.36599999999999</v>
      </c>
      <c r="F36" s="26">
        <f t="shared" si="2"/>
        <v>-222.81689809313912</v>
      </c>
      <c r="G36" s="26">
        <f t="shared" si="3"/>
        <v>-20.634000000000015</v>
      </c>
      <c r="H36" s="26">
        <f t="shared" si="4"/>
        <v>222.81689809313912</v>
      </c>
      <c r="I36" s="26">
        <f t="shared" si="4"/>
        <v>20.634000000000015</v>
      </c>
      <c r="J36" s="27">
        <f t="shared" si="5"/>
        <v>0.22303993803117028</v>
      </c>
      <c r="K36" s="27">
        <f t="shared" si="7"/>
        <v>2.0654654654654669E-2</v>
      </c>
    </row>
    <row r="37" spans="1:11" ht="15.75" x14ac:dyDescent="0.25">
      <c r="A37" s="18">
        <v>12</v>
      </c>
      <c r="B37" s="25" t="s">
        <v>12</v>
      </c>
      <c r="C37" s="18">
        <f t="shared" si="0"/>
        <v>923</v>
      </c>
      <c r="D37" s="26">
        <f t="shared" si="8"/>
        <v>920.39184061363289</v>
      </c>
      <c r="E37" s="26">
        <f t="shared" si="1"/>
        <v>1069.748</v>
      </c>
      <c r="F37" s="26">
        <f t="shared" si="2"/>
        <v>-2.608159386367106</v>
      </c>
      <c r="G37" s="26">
        <f t="shared" si="3"/>
        <v>146.74800000000005</v>
      </c>
      <c r="H37" s="26">
        <f t="shared" si="4"/>
        <v>2.608159386367106</v>
      </c>
      <c r="I37" s="26">
        <f t="shared" si="4"/>
        <v>146.74800000000005</v>
      </c>
      <c r="J37" s="27">
        <f t="shared" si="5"/>
        <v>2.8257414803543944E-3</v>
      </c>
      <c r="K37" s="27">
        <f t="shared" si="7"/>
        <v>0.15899024918743235</v>
      </c>
    </row>
    <row r="40" spans="1:11" x14ac:dyDescent="0.25">
      <c r="B40" s="21" t="s">
        <v>59</v>
      </c>
      <c r="C40" s="22" t="s">
        <v>60</v>
      </c>
      <c r="D40" s="22" t="s">
        <v>52</v>
      </c>
    </row>
    <row r="41" spans="1:11" ht="15.75" x14ac:dyDescent="0.25">
      <c r="B41" s="25" t="s">
        <v>61</v>
      </c>
      <c r="C41" s="27">
        <f>SUM(F28:F37)/SUM(C28:C37)</f>
        <v>-0.20470986538585992</v>
      </c>
      <c r="D41" s="28">
        <f>SUM(G28:G37)/SUM(C28:C37)</f>
        <v>0.17720593493028247</v>
      </c>
    </row>
    <row r="42" spans="1:11" x14ac:dyDescent="0.25">
      <c r="B42" s="25" t="s">
        <v>62</v>
      </c>
      <c r="C42" s="29">
        <f>AVERAGE(J28:J37)</f>
        <v>0.31335039435431244</v>
      </c>
      <c r="D42" s="30">
        <f>AVERAGE(K28:K37)</f>
        <v>0.56056116468831263</v>
      </c>
    </row>
    <row r="43" spans="1:11" ht="15.75" x14ac:dyDescent="0.25">
      <c r="B43" s="25" t="s">
        <v>63</v>
      </c>
      <c r="C43" s="27">
        <f>SUM(H28:H37)/SUM(C28:C37)</f>
        <v>0.26252818561066849</v>
      </c>
      <c r="D43" s="27">
        <f>SUM(I28:I37)/SUM(C28:C37)</f>
        <v>0.26304933857704682</v>
      </c>
    </row>
    <row r="44" spans="1:11" x14ac:dyDescent="0.25">
      <c r="B44" s="25" t="s">
        <v>64</v>
      </c>
      <c r="C44" s="26">
        <f>SQRT(SUMSQ(F28:F37)/COUNTA(F28:F37))</f>
        <v>238.53745789259676</v>
      </c>
      <c r="D44" s="31">
        <f>SQRT(SUMSQ(G28:G37)/COUNTA(G28:G37))</f>
        <v>190.5935453104328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0B6-0EB4-4C63-B436-3D6602E420B4}">
  <dimension ref="A2:K44"/>
  <sheetViews>
    <sheetView tabSelected="1" zoomScale="75" zoomScaleNormal="75" workbookViewId="0">
      <selection activeCell="E21" sqref="E21:F22"/>
    </sheetView>
  </sheetViews>
  <sheetFormatPr defaultRowHeight="15" x14ac:dyDescent="0.25"/>
  <cols>
    <col min="1" max="1" width="9" style="18"/>
    <col min="2" max="2" width="18.875" style="18" customWidth="1"/>
    <col min="3" max="3" width="14.125" style="18" customWidth="1"/>
    <col min="4" max="4" width="20" style="18" customWidth="1"/>
    <col min="5" max="5" width="14" style="18" customWidth="1"/>
    <col min="6" max="6" width="18.875" style="18" customWidth="1"/>
    <col min="7" max="11" width="19" style="18" customWidth="1"/>
    <col min="12" max="16384" width="9" style="18"/>
  </cols>
  <sheetData>
    <row r="2" spans="2:6" ht="31.5" x14ac:dyDescent="0.35">
      <c r="B2" s="17" t="s">
        <v>65</v>
      </c>
      <c r="F2" s="32" t="s">
        <v>66</v>
      </c>
    </row>
    <row r="3" spans="2:6" ht="21" x14ac:dyDescent="0.35">
      <c r="B3" s="17"/>
    </row>
    <row r="4" spans="2:6" x14ac:dyDescent="0.25">
      <c r="B4" s="19" t="s">
        <v>43</v>
      </c>
      <c r="C4" s="19" t="s">
        <v>44</v>
      </c>
    </row>
    <row r="5" spans="2:6" x14ac:dyDescent="0.25">
      <c r="B5" s="25" t="s">
        <v>1</v>
      </c>
      <c r="C5" s="18">
        <v>1</v>
      </c>
    </row>
    <row r="6" spans="2:6" x14ac:dyDescent="0.25">
      <c r="B6" s="25" t="s">
        <v>2</v>
      </c>
      <c r="C6" s="18">
        <v>19</v>
      </c>
    </row>
    <row r="7" spans="2:6" x14ac:dyDescent="0.25">
      <c r="B7" s="25" t="s">
        <v>3</v>
      </c>
      <c r="C7" s="18">
        <v>24</v>
      </c>
    </row>
    <row r="8" spans="2:6" x14ac:dyDescent="0.25">
      <c r="B8" s="25" t="s">
        <v>4</v>
      </c>
      <c r="C8" s="18">
        <v>23</v>
      </c>
    </row>
    <row r="9" spans="2:6" x14ac:dyDescent="0.25">
      <c r="B9" s="25" t="s">
        <v>5</v>
      </c>
      <c r="C9" s="18">
        <v>30</v>
      </c>
    </row>
    <row r="10" spans="2:6" x14ac:dyDescent="0.25">
      <c r="B10" s="25" t="s">
        <v>6</v>
      </c>
      <c r="C10" s="18">
        <v>37</v>
      </c>
    </row>
    <row r="11" spans="2:6" x14ac:dyDescent="0.25">
      <c r="B11" s="25" t="s">
        <v>7</v>
      </c>
      <c r="C11" s="18">
        <v>12</v>
      </c>
    </row>
    <row r="12" spans="2:6" x14ac:dyDescent="0.25">
      <c r="B12" s="25" t="s">
        <v>8</v>
      </c>
      <c r="C12" s="18">
        <v>61</v>
      </c>
    </row>
    <row r="13" spans="2:6" x14ac:dyDescent="0.25">
      <c r="B13" s="25" t="s">
        <v>9</v>
      </c>
      <c r="C13" s="18">
        <v>68</v>
      </c>
    </row>
    <row r="14" spans="2:6" x14ac:dyDescent="0.25">
      <c r="B14" s="25" t="s">
        <v>10</v>
      </c>
      <c r="C14" s="18">
        <v>74</v>
      </c>
    </row>
    <row r="15" spans="2:6" x14ac:dyDescent="0.25">
      <c r="B15" s="25" t="s">
        <v>11</v>
      </c>
      <c r="C15" s="18">
        <v>50</v>
      </c>
    </row>
    <row r="16" spans="2:6" x14ac:dyDescent="0.25">
      <c r="B16" s="25" t="s">
        <v>12</v>
      </c>
      <c r="C16" s="18">
        <v>94</v>
      </c>
    </row>
    <row r="19" spans="1:11" x14ac:dyDescent="0.25">
      <c r="B19" s="21" t="s">
        <v>45</v>
      </c>
      <c r="F19" s="22" t="s">
        <v>46</v>
      </c>
    </row>
    <row r="21" spans="1:11" x14ac:dyDescent="0.25">
      <c r="B21" s="19" t="s">
        <v>47</v>
      </c>
      <c r="C21" s="19">
        <v>0.57150356505229472</v>
      </c>
      <c r="E21" s="19" t="s">
        <v>48</v>
      </c>
      <c r="F21" s="19">
        <v>6.6544999999999996</v>
      </c>
    </row>
    <row r="22" spans="1:11" x14ac:dyDescent="0.25">
      <c r="B22" s="19" t="s">
        <v>49</v>
      </c>
      <c r="C22" s="23">
        <v>0.42849643920704211</v>
      </c>
      <c r="E22" s="19" t="s">
        <v>50</v>
      </c>
      <c r="F22" s="19">
        <v>4.8</v>
      </c>
    </row>
    <row r="23" spans="1:11" x14ac:dyDescent="0.25">
      <c r="C23" s="18">
        <f>SUM(C21:C22)</f>
        <v>1.0000000042593369</v>
      </c>
    </row>
    <row r="25" spans="1:11" x14ac:dyDescent="0.25">
      <c r="B25" s="24" t="s">
        <v>13</v>
      </c>
      <c r="C25" s="24" t="s">
        <v>31</v>
      </c>
      <c r="D25" s="24" t="s">
        <v>51</v>
      </c>
      <c r="E25" s="24" t="s">
        <v>52</v>
      </c>
      <c r="F25" s="24" t="s">
        <v>53</v>
      </c>
      <c r="G25" s="24" t="s">
        <v>54</v>
      </c>
      <c r="H25" s="24" t="s">
        <v>55</v>
      </c>
      <c r="I25" s="24" t="s">
        <v>56</v>
      </c>
      <c r="J25" s="24" t="s">
        <v>57</v>
      </c>
      <c r="K25" s="24" t="s">
        <v>58</v>
      </c>
    </row>
    <row r="26" spans="1:11" x14ac:dyDescent="0.25">
      <c r="A26" s="18">
        <v>1</v>
      </c>
      <c r="B26" s="25" t="s">
        <v>1</v>
      </c>
      <c r="C26" s="18">
        <f>C5</f>
        <v>1</v>
      </c>
    </row>
    <row r="27" spans="1:11" x14ac:dyDescent="0.25">
      <c r="A27" s="18">
        <v>2</v>
      </c>
      <c r="B27" s="25" t="s">
        <v>2</v>
      </c>
      <c r="C27" s="18">
        <f t="shared" ref="C27:C37" si="0">C6</f>
        <v>19</v>
      </c>
    </row>
    <row r="28" spans="1:11" ht="15.75" x14ac:dyDescent="0.25">
      <c r="A28" s="18">
        <v>3</v>
      </c>
      <c r="B28" s="25" t="s">
        <v>3</v>
      </c>
      <c r="C28" s="18">
        <f t="shared" si="0"/>
        <v>24</v>
      </c>
      <c r="D28" s="18">
        <f>C27</f>
        <v>19</v>
      </c>
      <c r="E28" s="26">
        <f>($F$21*A28)+$F$22</f>
        <v>24.763500000000001</v>
      </c>
      <c r="F28" s="26">
        <f>D28-C28</f>
        <v>-5</v>
      </c>
      <c r="G28" s="26">
        <f>E28-C28</f>
        <v>0.76350000000000051</v>
      </c>
      <c r="H28" s="18">
        <f>ABS(F28)</f>
        <v>5</v>
      </c>
      <c r="I28" s="26">
        <f>ABS(G28)</f>
        <v>0.76350000000000051</v>
      </c>
      <c r="J28" s="27">
        <f>H28/C28</f>
        <v>0.20833333333333334</v>
      </c>
      <c r="K28" s="27">
        <f>I28/C28</f>
        <v>3.1812500000000021E-2</v>
      </c>
    </row>
    <row r="29" spans="1:11" ht="15.75" x14ac:dyDescent="0.25">
      <c r="A29" s="18">
        <v>4</v>
      </c>
      <c r="B29" s="25" t="s">
        <v>4</v>
      </c>
      <c r="C29" s="18">
        <f t="shared" si="0"/>
        <v>23</v>
      </c>
      <c r="D29" s="26">
        <f>($C$22*C28)+($C$21*C27)</f>
        <v>21.14248227696261</v>
      </c>
      <c r="E29" s="26">
        <f t="shared" ref="E29:E37" si="1">($F$21*A29)+$F$22</f>
        <v>31.417999999999999</v>
      </c>
      <c r="F29" s="26">
        <f t="shared" ref="F29:F37" si="2">D29-C29</f>
        <v>-1.8575177230373896</v>
      </c>
      <c r="G29" s="26">
        <f t="shared" ref="G29:G37" si="3">E29-C29</f>
        <v>8.4179999999999993</v>
      </c>
      <c r="H29" s="26">
        <f t="shared" ref="H29:I37" si="4">ABS(F29)</f>
        <v>1.8575177230373896</v>
      </c>
      <c r="I29" s="26">
        <f t="shared" si="4"/>
        <v>8.4179999999999993</v>
      </c>
      <c r="J29" s="27">
        <f t="shared" ref="J29:J37" si="5">H29/C29</f>
        <v>8.0761640132060414E-2</v>
      </c>
      <c r="K29" s="27">
        <f t="shared" ref="K29:K37" si="6">I29/C29</f>
        <v>0.36599999999999999</v>
      </c>
    </row>
    <row r="30" spans="1:11" ht="15.75" x14ac:dyDescent="0.25">
      <c r="A30" s="18">
        <v>5</v>
      </c>
      <c r="B30" s="25" t="s">
        <v>5</v>
      </c>
      <c r="C30" s="18">
        <f t="shared" si="0"/>
        <v>30</v>
      </c>
      <c r="D30" s="26">
        <f t="shared" ref="D30:D37" si="7">($C$22*C29)+($C$21*C28)</f>
        <v>23.57150366301704</v>
      </c>
      <c r="E30" s="26">
        <f t="shared" si="1"/>
        <v>38.072499999999998</v>
      </c>
      <c r="F30" s="26">
        <f t="shared" si="2"/>
        <v>-6.4284963369829597</v>
      </c>
      <c r="G30" s="26">
        <f t="shared" si="3"/>
        <v>8.072499999999998</v>
      </c>
      <c r="H30" s="26">
        <f t="shared" si="4"/>
        <v>6.4284963369829597</v>
      </c>
      <c r="I30" s="26">
        <f t="shared" si="4"/>
        <v>8.072499999999998</v>
      </c>
      <c r="J30" s="27">
        <f t="shared" si="5"/>
        <v>0.21428321123276534</v>
      </c>
      <c r="K30" s="27">
        <f t="shared" si="6"/>
        <v>0.26908333333333329</v>
      </c>
    </row>
    <row r="31" spans="1:11" ht="15.75" x14ac:dyDescent="0.25">
      <c r="A31" s="18">
        <v>6</v>
      </c>
      <c r="B31" s="25" t="s">
        <v>6</v>
      </c>
      <c r="C31" s="18">
        <f t="shared" si="0"/>
        <v>37</v>
      </c>
      <c r="D31" s="26">
        <f t="shared" si="7"/>
        <v>25.999475172414041</v>
      </c>
      <c r="E31" s="26">
        <f t="shared" si="1"/>
        <v>44.726999999999997</v>
      </c>
      <c r="F31" s="26">
        <f t="shared" si="2"/>
        <v>-11.000524827585959</v>
      </c>
      <c r="G31" s="26">
        <f t="shared" si="3"/>
        <v>7.7269999999999968</v>
      </c>
      <c r="H31" s="26">
        <f t="shared" si="4"/>
        <v>11.000524827585959</v>
      </c>
      <c r="I31" s="26">
        <f t="shared" si="4"/>
        <v>7.7269999999999968</v>
      </c>
      <c r="J31" s="27">
        <f t="shared" si="5"/>
        <v>0.29731148182664757</v>
      </c>
      <c r="K31" s="27">
        <f t="shared" si="6"/>
        <v>0.20883783783783774</v>
      </c>
    </row>
    <row r="32" spans="1:11" ht="15.75" x14ac:dyDescent="0.25">
      <c r="A32" s="18">
        <v>7</v>
      </c>
      <c r="B32" s="25" t="s">
        <v>7</v>
      </c>
      <c r="C32" s="18">
        <f t="shared" si="0"/>
        <v>12</v>
      </c>
      <c r="D32" s="26">
        <f t="shared" si="7"/>
        <v>32.999475202229398</v>
      </c>
      <c r="E32" s="26">
        <f t="shared" si="1"/>
        <v>51.381499999999996</v>
      </c>
      <c r="F32" s="26">
        <f t="shared" si="2"/>
        <v>20.999475202229398</v>
      </c>
      <c r="G32" s="26">
        <f t="shared" si="3"/>
        <v>39.381499999999996</v>
      </c>
      <c r="H32" s="26">
        <f t="shared" si="4"/>
        <v>20.999475202229398</v>
      </c>
      <c r="I32" s="26">
        <f t="shared" si="4"/>
        <v>39.381499999999996</v>
      </c>
      <c r="J32" s="27">
        <f t="shared" si="5"/>
        <v>1.7499562668524498</v>
      </c>
      <c r="K32" s="27">
        <f t="shared" si="6"/>
        <v>3.2817916666666664</v>
      </c>
    </row>
    <row r="33" spans="1:11" ht="15.75" x14ac:dyDescent="0.25">
      <c r="A33" s="18">
        <v>8</v>
      </c>
      <c r="B33" s="25" t="s">
        <v>8</v>
      </c>
      <c r="C33" s="18">
        <f t="shared" si="0"/>
        <v>61</v>
      </c>
      <c r="D33" s="26">
        <f t="shared" si="7"/>
        <v>26.287589177419413</v>
      </c>
      <c r="E33" s="26">
        <f t="shared" si="1"/>
        <v>58.035999999999994</v>
      </c>
      <c r="F33" s="26">
        <f t="shared" si="2"/>
        <v>-34.712410822580587</v>
      </c>
      <c r="G33" s="26">
        <f t="shared" si="3"/>
        <v>-2.9640000000000057</v>
      </c>
      <c r="H33" s="26">
        <f t="shared" si="4"/>
        <v>34.712410822580587</v>
      </c>
      <c r="I33" s="26">
        <f t="shared" si="4"/>
        <v>2.9640000000000057</v>
      </c>
      <c r="J33" s="27">
        <f t="shared" si="5"/>
        <v>0.56905591512427189</v>
      </c>
      <c r="K33" s="27">
        <f t="shared" si="6"/>
        <v>4.8590163934426327E-2</v>
      </c>
    </row>
    <row r="34" spans="1:11" ht="15.75" x14ac:dyDescent="0.25">
      <c r="A34" s="18">
        <v>9</v>
      </c>
      <c r="B34" s="25" t="s">
        <v>9</v>
      </c>
      <c r="C34" s="18">
        <f t="shared" si="0"/>
        <v>68</v>
      </c>
      <c r="D34" s="26">
        <f t="shared" si="7"/>
        <v>32.996325572257106</v>
      </c>
      <c r="E34" s="26">
        <f t="shared" si="1"/>
        <v>64.6905</v>
      </c>
      <c r="F34" s="26">
        <f t="shared" si="2"/>
        <v>-35.003674427742894</v>
      </c>
      <c r="G34" s="26">
        <f t="shared" si="3"/>
        <v>-3.3094999999999999</v>
      </c>
      <c r="H34" s="26">
        <f t="shared" si="4"/>
        <v>35.003674427742894</v>
      </c>
      <c r="I34" s="26">
        <f t="shared" si="4"/>
        <v>3.3094999999999999</v>
      </c>
      <c r="J34" s="27">
        <f t="shared" si="5"/>
        <v>0.51475991805504251</v>
      </c>
      <c r="K34" s="27">
        <f t="shared" si="6"/>
        <v>4.8669117647058821E-2</v>
      </c>
    </row>
    <row r="35" spans="1:11" ht="15.75" x14ac:dyDescent="0.25">
      <c r="A35" s="18">
        <v>10</v>
      </c>
      <c r="B35" s="25" t="s">
        <v>10</v>
      </c>
      <c r="C35" s="18">
        <f t="shared" si="0"/>
        <v>74</v>
      </c>
      <c r="D35" s="26">
        <f t="shared" si="7"/>
        <v>63.999475334268844</v>
      </c>
      <c r="E35" s="26">
        <f t="shared" si="1"/>
        <v>71.344999999999999</v>
      </c>
      <c r="F35" s="26">
        <f t="shared" si="2"/>
        <v>-10.000524665731156</v>
      </c>
      <c r="G35" s="26">
        <f t="shared" si="3"/>
        <v>-2.6550000000000011</v>
      </c>
      <c r="H35" s="26">
        <f t="shared" si="4"/>
        <v>10.000524665731156</v>
      </c>
      <c r="I35" s="26">
        <f t="shared" si="4"/>
        <v>2.6550000000000011</v>
      </c>
      <c r="J35" s="27">
        <f t="shared" si="5"/>
        <v>0.13514222521258318</v>
      </c>
      <c r="K35" s="27">
        <f t="shared" si="6"/>
        <v>3.5878378378378394E-2</v>
      </c>
    </row>
    <row r="36" spans="1:11" ht="15.75" x14ac:dyDescent="0.25">
      <c r="A36" s="18">
        <v>11</v>
      </c>
      <c r="B36" s="25" t="s">
        <v>11</v>
      </c>
      <c r="C36" s="18">
        <f t="shared" si="0"/>
        <v>50</v>
      </c>
      <c r="D36" s="26">
        <f t="shared" si="7"/>
        <v>70.570978924877153</v>
      </c>
      <c r="E36" s="26">
        <f t="shared" si="1"/>
        <v>77.999499999999998</v>
      </c>
      <c r="F36" s="26">
        <f t="shared" si="2"/>
        <v>20.570978924877153</v>
      </c>
      <c r="G36" s="26">
        <f t="shared" si="3"/>
        <v>27.999499999999998</v>
      </c>
      <c r="H36" s="26">
        <f t="shared" si="4"/>
        <v>20.570978924877153</v>
      </c>
      <c r="I36" s="26">
        <f t="shared" si="4"/>
        <v>27.999499999999998</v>
      </c>
      <c r="J36" s="27">
        <f t="shared" si="5"/>
        <v>0.41141957849754307</v>
      </c>
      <c r="K36" s="27">
        <f t="shared" si="6"/>
        <v>0.55998999999999999</v>
      </c>
    </row>
    <row r="37" spans="1:11" ht="15.75" x14ac:dyDescent="0.25">
      <c r="A37" s="18">
        <v>12</v>
      </c>
      <c r="B37" s="25" t="s">
        <v>12</v>
      </c>
      <c r="C37" s="18">
        <f t="shared" si="0"/>
        <v>94</v>
      </c>
      <c r="D37" s="26">
        <f t="shared" si="7"/>
        <v>63.716085774221916</v>
      </c>
      <c r="E37" s="26">
        <f t="shared" si="1"/>
        <v>84.653999999999996</v>
      </c>
      <c r="F37" s="26">
        <f t="shared" si="2"/>
        <v>-30.283914225778084</v>
      </c>
      <c r="G37" s="26">
        <f t="shared" si="3"/>
        <v>-9.3460000000000036</v>
      </c>
      <c r="H37" s="26">
        <f t="shared" si="4"/>
        <v>30.283914225778084</v>
      </c>
      <c r="I37" s="26">
        <f t="shared" si="4"/>
        <v>9.3460000000000036</v>
      </c>
      <c r="J37" s="27">
        <f t="shared" si="5"/>
        <v>0.3221693002742349</v>
      </c>
      <c r="K37" s="27">
        <f t="shared" si="6"/>
        <v>9.9425531914893658E-2</v>
      </c>
    </row>
    <row r="40" spans="1:11" x14ac:dyDescent="0.25">
      <c r="B40" s="21" t="s">
        <v>59</v>
      </c>
      <c r="C40" s="22" t="s">
        <v>60</v>
      </c>
      <c r="D40" s="22" t="s">
        <v>52</v>
      </c>
    </row>
    <row r="41" spans="1:11" ht="15.75" x14ac:dyDescent="0.25">
      <c r="B41" s="25" t="s">
        <v>61</v>
      </c>
      <c r="C41" s="27">
        <f>SUM(F28:F37)/SUM(C28:C37)</f>
        <v>-0.19601820063918074</v>
      </c>
      <c r="D41" s="28">
        <f>SUM(G28:G37)/SUM(C28:C37)</f>
        <v>0.1566331923890063</v>
      </c>
    </row>
    <row r="42" spans="1:11" ht="15.75" x14ac:dyDescent="0.25">
      <c r="B42" s="25" t="s">
        <v>62</v>
      </c>
      <c r="C42" s="28">
        <f>AVERAGE(J28:J37)</f>
        <v>0.45031928705409319</v>
      </c>
      <c r="D42" s="30">
        <f>AVERAGE(K28:K37)</f>
        <v>0.49500785297125943</v>
      </c>
    </row>
    <row r="43" spans="1:11" ht="15.75" x14ac:dyDescent="0.25">
      <c r="B43" s="25" t="s">
        <v>63</v>
      </c>
      <c r="C43" s="27">
        <f>SUM(H28:H37)/SUM(C28:C37)</f>
        <v>0.37179179102863757</v>
      </c>
      <c r="D43" s="28">
        <f>SUM(I28:I37)/SUM(C28:C37)</f>
        <v>0.23390380549682871</v>
      </c>
    </row>
    <row r="44" spans="1:11" x14ac:dyDescent="0.25">
      <c r="B44" s="25" t="s">
        <v>64</v>
      </c>
      <c r="C44" s="26">
        <f>SQRT(SUMSQ(F28:F37)/COUNTA(F28:F37))</f>
        <v>21.218542031459975</v>
      </c>
      <c r="D44" s="31">
        <f>SQRT(SUMSQ(G28:G37)/COUNTA(G28:G37))</f>
        <v>16.264460677348019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D7F25-A0D2-6144-8B8D-902801B5C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Capa</vt:lpstr>
      <vt:lpstr>Suposições</vt:lpstr>
      <vt:lpstr>INPUTS Leads- Trafego pago</vt:lpstr>
      <vt:lpstr>Source- Trafego pago </vt:lpstr>
      <vt:lpstr>INPUTS Leads- Trafego organico</vt:lpstr>
      <vt:lpstr>OUTPUT Desempenho de Vendas</vt:lpstr>
      <vt:lpstr>Source- Trafego organico</vt:lpstr>
      <vt:lpstr>Projeção estudo Leads Organico</vt:lpstr>
      <vt:lpstr>Projeção estudo Leads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Kuvabara</dc:creator>
  <cp:lastModifiedBy>Usuario</cp:lastModifiedBy>
  <dcterms:created xsi:type="dcterms:W3CDTF">2022-02-02T22:14:41Z</dcterms:created>
  <dcterms:modified xsi:type="dcterms:W3CDTF">2022-07-07T16:16:34Z</dcterms:modified>
</cp:coreProperties>
</file>