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eLivro" defaultThemeVersion="124226"/>
  <bookViews>
    <workbookView xWindow="-120" yWindow="-165" windowWidth="13695" windowHeight="9360" tabRatio="673"/>
  </bookViews>
  <sheets>
    <sheet name="Instruções" sheetId="81" r:id="rId1"/>
    <sheet name="Sing Masc" sheetId="96" r:id="rId2"/>
    <sheet name="Sing Fem" sheetId="97" r:id="rId3"/>
    <sheet name="Par Masc" sheetId="100" r:id="rId4"/>
    <sheet name="Par Fem" sheetId="99" r:id="rId5"/>
    <sheet name="Par Misto" sheetId="98" r:id="rId6"/>
    <sheet name="Árbitros" sheetId="93" r:id="rId7"/>
    <sheet name="Class Auto" sheetId="58" r:id="rId8"/>
    <sheet name="Calendário" sheetId="95" r:id="rId9"/>
    <sheet name="Class Manual" sheetId="94" r:id="rId10"/>
    <sheet name="Calend1" sheetId="59" state="hidden" r:id="rId11"/>
  </sheets>
  <definedNames>
    <definedName name="_xlnm._FilterDatabase" localSheetId="4" hidden="1">'Par Fem'!$AN$6:$AY$54</definedName>
    <definedName name="_xlnm._FilterDatabase" localSheetId="3" hidden="1">'Par Masc'!$AN$6:$AY$54</definedName>
    <definedName name="_xlnm._FilterDatabase" localSheetId="5" hidden="1">'Par Misto'!$AN$6:$AY$54</definedName>
    <definedName name="_xlnm._FilterDatabase" localSheetId="2" hidden="1">'Sing Fem'!$AN$6:$AY$54</definedName>
    <definedName name="_xlnm._FilterDatabase" localSheetId="1" hidden="1">'Sing Masc'!$AN$6:$AY$54</definedName>
    <definedName name="_xlnm.Print_Area" localSheetId="6">Árbitros!$B$2:$AG$14</definedName>
    <definedName name="_xlnm.Print_Area" localSheetId="10">Calend1!$A$1:$I$30</definedName>
    <definedName name="_xlnm.Print_Area" localSheetId="8">Calendário!$A$1:$K$28</definedName>
    <definedName name="_xlnm.Print_Area" localSheetId="7">'Class Auto'!$A$2:$F$20</definedName>
    <definedName name="_xlnm.Print_Area" localSheetId="9">'Class Manual'!$B$2:$F$20</definedName>
    <definedName name="_xlnm.Print_Area" localSheetId="4">'Par Fem'!$AZ$100:$CG$152</definedName>
    <definedName name="_xlnm.Print_Area" localSheetId="3">'Par Masc'!$AZ$100:$CG$152</definedName>
    <definedName name="_xlnm.Print_Area" localSheetId="5">'Par Misto'!$AZ$100:$CG$152</definedName>
    <definedName name="_xlnm.Print_Area" localSheetId="2">'Sing Fem'!$AZ$100:$CG$152</definedName>
    <definedName name="_xlnm.Print_Area" localSheetId="1">'Sing Masc'!$AZ$100:$CG$152</definedName>
  </definedNames>
  <calcPr calcId="125725"/>
</workbook>
</file>

<file path=xl/calcChain.xml><?xml version="1.0" encoding="utf-8"?>
<calcChain xmlns="http://schemas.openxmlformats.org/spreadsheetml/2006/main">
  <c r="B2" i="58"/>
  <c r="F20"/>
  <c r="F19"/>
  <c r="F18"/>
  <c r="F17"/>
  <c r="F16"/>
  <c r="F15"/>
  <c r="F14"/>
  <c r="F13"/>
  <c r="F12"/>
  <c r="F11"/>
  <c r="F10"/>
  <c r="F9"/>
  <c r="F8"/>
  <c r="F7"/>
  <c r="F6"/>
  <c r="F5"/>
  <c r="E20"/>
  <c r="E19"/>
  <c r="E18"/>
  <c r="E17"/>
  <c r="E16"/>
  <c r="E15"/>
  <c r="E14"/>
  <c r="E13"/>
  <c r="E12"/>
  <c r="E11"/>
  <c r="E10"/>
  <c r="E9"/>
  <c r="E8"/>
  <c r="E7"/>
  <c r="E6"/>
  <c r="E5"/>
  <c r="D20"/>
  <c r="D19"/>
  <c r="D18"/>
  <c r="D17"/>
  <c r="D16"/>
  <c r="D15"/>
  <c r="D14"/>
  <c r="D13"/>
  <c r="D12"/>
  <c r="D11"/>
  <c r="D10"/>
  <c r="D9"/>
  <c r="D8"/>
  <c r="D7"/>
  <c r="D6"/>
  <c r="D5"/>
  <c r="C20"/>
  <c r="C19"/>
  <c r="C18"/>
  <c r="C17"/>
  <c r="C16"/>
  <c r="C15"/>
  <c r="C14"/>
  <c r="C13"/>
  <c r="C12"/>
  <c r="C11"/>
  <c r="C10"/>
  <c r="C9"/>
  <c r="C8"/>
  <c r="C7"/>
  <c r="C6"/>
  <c r="C5"/>
  <c r="B20"/>
  <c r="B19"/>
  <c r="B18"/>
  <c r="B17"/>
  <c r="B16"/>
  <c r="B15"/>
  <c r="B14"/>
  <c r="B13"/>
  <c r="B12"/>
  <c r="B11"/>
  <c r="B10"/>
  <c r="B9"/>
  <c r="B6"/>
  <c r="B7"/>
  <c r="B8"/>
  <c r="B5"/>
  <c r="CM145" i="100"/>
  <c r="CL145"/>
  <c r="CK145"/>
  <c r="CJ145"/>
  <c r="CI145"/>
  <c r="CM144"/>
  <c r="CL144"/>
  <c r="CK144"/>
  <c r="CJ144"/>
  <c r="CI144"/>
  <c r="CM143"/>
  <c r="CL143"/>
  <c r="CK143"/>
  <c r="CJ143"/>
  <c r="CI143"/>
  <c r="CM142"/>
  <c r="CL142"/>
  <c r="CK142"/>
  <c r="CJ142"/>
  <c r="CI142"/>
  <c r="CM141"/>
  <c r="CL141"/>
  <c r="CK141"/>
  <c r="CJ141"/>
  <c r="CI141"/>
  <c r="CM140"/>
  <c r="CL140"/>
  <c r="CK140"/>
  <c r="CJ140"/>
  <c r="CI140"/>
  <c r="CM139"/>
  <c r="CL139"/>
  <c r="CK139"/>
  <c r="CJ139"/>
  <c r="CI139"/>
  <c r="CM138"/>
  <c r="CL138"/>
  <c r="CK138"/>
  <c r="CJ138"/>
  <c r="CI138"/>
  <c r="CM137"/>
  <c r="CL137"/>
  <c r="CK137"/>
  <c r="CJ137"/>
  <c r="CI137"/>
  <c r="CM136"/>
  <c r="CL136"/>
  <c r="CK136"/>
  <c r="CJ136"/>
  <c r="CI136"/>
  <c r="CM135"/>
  <c r="CL135"/>
  <c r="CK135"/>
  <c r="CJ135"/>
  <c r="CI135"/>
  <c r="CM134"/>
  <c r="CL134"/>
  <c r="CK134"/>
  <c r="CJ134"/>
  <c r="CI134"/>
  <c r="CM133"/>
  <c r="CL133"/>
  <c r="CK133"/>
  <c r="CJ133"/>
  <c r="CI133"/>
  <c r="CM132"/>
  <c r="CL132"/>
  <c r="CK132"/>
  <c r="CJ132"/>
  <c r="CI132"/>
  <c r="CM131"/>
  <c r="CL131"/>
  <c r="CK131"/>
  <c r="CJ131"/>
  <c r="CI131"/>
  <c r="CM130"/>
  <c r="CL130"/>
  <c r="CK130"/>
  <c r="CJ130"/>
  <c r="CI130"/>
  <c r="CM129"/>
  <c r="CL129"/>
  <c r="CK129"/>
  <c r="CJ129"/>
  <c r="CI129"/>
  <c r="CM128"/>
  <c r="CL128"/>
  <c r="CK128"/>
  <c r="CJ128"/>
  <c r="CI128"/>
  <c r="BB128"/>
  <c r="CM127"/>
  <c r="CL127"/>
  <c r="CK127"/>
  <c r="CJ127"/>
  <c r="CI127"/>
  <c r="CM126"/>
  <c r="CL126"/>
  <c r="CK126"/>
  <c r="CJ126"/>
  <c r="CI126"/>
  <c r="CM125"/>
  <c r="CL125"/>
  <c r="CK125"/>
  <c r="CJ125"/>
  <c r="CI125"/>
  <c r="CM124"/>
  <c r="CL124"/>
  <c r="CK124"/>
  <c r="CJ124"/>
  <c r="CI124"/>
  <c r="CM123"/>
  <c r="CL123"/>
  <c r="CK123"/>
  <c r="CJ123"/>
  <c r="CI123"/>
  <c r="CM122"/>
  <c r="CL122"/>
  <c r="CK122"/>
  <c r="CJ122"/>
  <c r="CI122"/>
  <c r="CM121"/>
  <c r="CL121"/>
  <c r="CK121"/>
  <c r="CJ121"/>
  <c r="CI121"/>
  <c r="CM120"/>
  <c r="CL120"/>
  <c r="CK120"/>
  <c r="CJ120"/>
  <c r="CI120"/>
  <c r="CM119"/>
  <c r="CL119"/>
  <c r="CK119"/>
  <c r="CJ119"/>
  <c r="CI119"/>
  <c r="CM118"/>
  <c r="CL118"/>
  <c r="CK118"/>
  <c r="CJ118"/>
  <c r="CI118"/>
  <c r="CM117"/>
  <c r="CL117"/>
  <c r="CK117"/>
  <c r="CJ117"/>
  <c r="CI117"/>
  <c r="CM116"/>
  <c r="CL116"/>
  <c r="CK116"/>
  <c r="CJ116"/>
  <c r="CI116"/>
  <c r="CM115"/>
  <c r="CL115"/>
  <c r="CK115"/>
  <c r="CJ115"/>
  <c r="CI115"/>
  <c r="CM114"/>
  <c r="CL114"/>
  <c r="CK114"/>
  <c r="CJ114"/>
  <c r="CI114"/>
  <c r="CM113"/>
  <c r="CL113"/>
  <c r="CK113"/>
  <c r="CJ113"/>
  <c r="CI113"/>
  <c r="CM112"/>
  <c r="CL112"/>
  <c r="CK112"/>
  <c r="CJ112"/>
  <c r="CI112"/>
  <c r="CM111"/>
  <c r="CL111"/>
  <c r="CK111"/>
  <c r="CJ111"/>
  <c r="CI111"/>
  <c r="CM110"/>
  <c r="CL110"/>
  <c r="CK110"/>
  <c r="CJ110"/>
  <c r="CI110"/>
  <c r="CM109"/>
  <c r="CL109"/>
  <c r="CK109"/>
  <c r="CJ109"/>
  <c r="CI109"/>
  <c r="CM108"/>
  <c r="CL108"/>
  <c r="CK108"/>
  <c r="CJ108"/>
  <c r="CI108"/>
  <c r="CM107"/>
  <c r="CL107"/>
  <c r="CK107"/>
  <c r="CJ107"/>
  <c r="CI107"/>
  <c r="CM106"/>
  <c r="CL106"/>
  <c r="CK106"/>
  <c r="CJ106"/>
  <c r="CI106"/>
  <c r="CM105"/>
  <c r="CL105"/>
  <c r="CK105"/>
  <c r="CJ105"/>
  <c r="CI105"/>
  <c r="CM104"/>
  <c r="CL104"/>
  <c r="CK104"/>
  <c r="CJ104"/>
  <c r="CI104"/>
  <c r="CM103"/>
  <c r="CL103"/>
  <c r="CK103"/>
  <c r="CJ103"/>
  <c r="CI103"/>
  <c r="CM102"/>
  <c r="CL102"/>
  <c r="CK102"/>
  <c r="CJ102"/>
  <c r="CI102"/>
  <c r="BA127" s="1"/>
  <c r="BB102"/>
  <c r="BA101" s="1"/>
  <c r="O98"/>
  <c r="W96"/>
  <c r="V94"/>
  <c r="O94"/>
  <c r="P96" s="1"/>
  <c r="V90"/>
  <c r="P92" s="1"/>
  <c r="Y88" s="1"/>
  <c r="Y89" s="1"/>
  <c r="O90"/>
  <c r="W88"/>
  <c r="X92" s="1"/>
  <c r="Y86" s="1"/>
  <c r="Y87" s="1"/>
  <c r="AC87"/>
  <c r="AB87"/>
  <c r="AA87"/>
  <c r="Z87"/>
  <c r="O86"/>
  <c r="P88" s="1"/>
  <c r="O80"/>
  <c r="W78"/>
  <c r="V76"/>
  <c r="O76"/>
  <c r="P78" s="1"/>
  <c r="V72"/>
  <c r="P74" s="1"/>
  <c r="Y70" s="1"/>
  <c r="Y71" s="1"/>
  <c r="O72"/>
  <c r="W70"/>
  <c r="X74" s="1"/>
  <c r="Y68" s="1"/>
  <c r="Y69" s="1"/>
  <c r="AC69"/>
  <c r="AB69"/>
  <c r="AA69"/>
  <c r="Z69"/>
  <c r="O68"/>
  <c r="P70" s="1"/>
  <c r="O62"/>
  <c r="W60"/>
  <c r="V58"/>
  <c r="O58"/>
  <c r="P60" s="1"/>
  <c r="V54"/>
  <c r="P56" s="1"/>
  <c r="Y52" s="1"/>
  <c r="Y53" s="1"/>
  <c r="O54"/>
  <c r="AC53"/>
  <c r="AB53"/>
  <c r="AA53"/>
  <c r="Z53"/>
  <c r="W52"/>
  <c r="X56" s="1"/>
  <c r="Y50" s="1"/>
  <c r="Y51" s="1"/>
  <c r="AC51"/>
  <c r="AB51"/>
  <c r="AA51"/>
  <c r="Z51"/>
  <c r="O50"/>
  <c r="P52" s="1"/>
  <c r="H44"/>
  <c r="O43"/>
  <c r="H42"/>
  <c r="I43" s="1"/>
  <c r="W41"/>
  <c r="H40"/>
  <c r="V39"/>
  <c r="O39"/>
  <c r="P41" s="1"/>
  <c r="H38"/>
  <c r="I39" s="1"/>
  <c r="H36"/>
  <c r="V35"/>
  <c r="P37" s="1"/>
  <c r="Y33" s="1"/>
  <c r="Y34" s="1"/>
  <c r="O35"/>
  <c r="AC34"/>
  <c r="AB34"/>
  <c r="AA34"/>
  <c r="Z34"/>
  <c r="H34"/>
  <c r="I35" s="1"/>
  <c r="W33"/>
  <c r="X37" s="1"/>
  <c r="Y31" s="1"/>
  <c r="Y32" s="1"/>
  <c r="AC32"/>
  <c r="AB32"/>
  <c r="AA32"/>
  <c r="Z32"/>
  <c r="H32"/>
  <c r="O31"/>
  <c r="P33" s="1"/>
  <c r="H30"/>
  <c r="I31" s="1"/>
  <c r="AA27"/>
  <c r="Y27"/>
  <c r="CO125" s="1"/>
  <c r="T27"/>
  <c r="R27"/>
  <c r="CO123" s="1"/>
  <c r="M27"/>
  <c r="K27"/>
  <c r="CO121" s="1"/>
  <c r="F27"/>
  <c r="D27"/>
  <c r="CO119" s="1"/>
  <c r="AO26"/>
  <c r="AA26"/>
  <c r="Y26"/>
  <c r="CN125" s="1"/>
  <c r="T26"/>
  <c r="R26"/>
  <c r="CN123" s="1"/>
  <c r="M26"/>
  <c r="K26"/>
  <c r="CN121" s="1"/>
  <c r="F26"/>
  <c r="D26"/>
  <c r="CN119" s="1"/>
  <c r="AO25"/>
  <c r="AI25"/>
  <c r="AG25"/>
  <c r="AA25"/>
  <c r="Y25"/>
  <c r="CO124" s="1"/>
  <c r="T25"/>
  <c r="R25"/>
  <c r="CO122" s="1"/>
  <c r="M25"/>
  <c r="K25"/>
  <c r="CO120" s="1"/>
  <c r="F25"/>
  <c r="D25"/>
  <c r="CO118" s="1"/>
  <c r="AO24"/>
  <c r="AK24"/>
  <c r="AI24"/>
  <c r="AG24"/>
  <c r="AA24"/>
  <c r="Y24"/>
  <c r="CN124" s="1"/>
  <c r="T24"/>
  <c r="R24"/>
  <c r="CN122" s="1"/>
  <c r="M24"/>
  <c r="K24"/>
  <c r="CN120" s="1"/>
  <c r="F24"/>
  <c r="D24"/>
  <c r="CN118" s="1"/>
  <c r="AO23"/>
  <c r="AK23"/>
  <c r="AI23"/>
  <c r="AG23"/>
  <c r="AA23"/>
  <c r="Y23"/>
  <c r="CO117" s="1"/>
  <c r="T23"/>
  <c r="R23"/>
  <c r="CO115" s="1"/>
  <c r="M23"/>
  <c r="K23"/>
  <c r="CO113" s="1"/>
  <c r="F23"/>
  <c r="D23"/>
  <c r="CO111" s="1"/>
  <c r="AO22"/>
  <c r="AK22"/>
  <c r="AI22"/>
  <c r="AG22"/>
  <c r="AA22"/>
  <c r="Y22"/>
  <c r="CN117" s="1"/>
  <c r="T22"/>
  <c r="R22"/>
  <c r="CN115" s="1"/>
  <c r="M22"/>
  <c r="K22"/>
  <c r="CN113" s="1"/>
  <c r="F22"/>
  <c r="D22"/>
  <c r="CN111" s="1"/>
  <c r="AO21"/>
  <c r="AK21"/>
  <c r="AI21"/>
  <c r="AG21"/>
  <c r="AA21"/>
  <c r="Y21"/>
  <c r="CO116" s="1"/>
  <c r="T21"/>
  <c r="R21"/>
  <c r="CO114" s="1"/>
  <c r="M21"/>
  <c r="K21"/>
  <c r="CO112" s="1"/>
  <c r="F21"/>
  <c r="D21"/>
  <c r="CO110" s="1"/>
  <c r="AO20"/>
  <c r="AI20"/>
  <c r="AG20"/>
  <c r="AA20"/>
  <c r="Y20"/>
  <c r="CN116" s="1"/>
  <c r="T20"/>
  <c r="R20"/>
  <c r="CN114" s="1"/>
  <c r="M20"/>
  <c r="K20"/>
  <c r="CN112" s="1"/>
  <c r="F20"/>
  <c r="D20"/>
  <c r="CN110" s="1"/>
  <c r="AO19"/>
  <c r="AK19"/>
  <c r="AI19"/>
  <c r="AG19"/>
  <c r="AA19"/>
  <c r="Y19"/>
  <c r="CO109" s="1"/>
  <c r="T19"/>
  <c r="R19"/>
  <c r="CO107" s="1"/>
  <c r="M19"/>
  <c r="K19"/>
  <c r="CO105" s="1"/>
  <c r="F19"/>
  <c r="D19"/>
  <c r="CO103" s="1"/>
  <c r="AO18"/>
  <c r="AK18"/>
  <c r="AI18"/>
  <c r="AG18"/>
  <c r="AA18"/>
  <c r="Y18"/>
  <c r="CN109" s="1"/>
  <c r="T18"/>
  <c r="R18"/>
  <c r="CN107" s="1"/>
  <c r="M18"/>
  <c r="K18"/>
  <c r="CN105" s="1"/>
  <c r="F18"/>
  <c r="D18"/>
  <c r="CN103" s="1"/>
  <c r="AO17"/>
  <c r="AK17"/>
  <c r="AI17"/>
  <c r="AG17"/>
  <c r="AA17"/>
  <c r="Y17"/>
  <c r="CO108" s="1"/>
  <c r="T17"/>
  <c r="R17"/>
  <c r="CO106" s="1"/>
  <c r="M17"/>
  <c r="K17"/>
  <c r="CO104" s="1"/>
  <c r="F17"/>
  <c r="D17"/>
  <c r="CO102" s="1"/>
  <c r="AO16"/>
  <c r="AK16"/>
  <c r="AI16"/>
  <c r="AG16"/>
  <c r="AA16"/>
  <c r="Y16"/>
  <c r="CN108" s="1"/>
  <c r="T16"/>
  <c r="R16"/>
  <c r="CN106" s="1"/>
  <c r="M16"/>
  <c r="K16"/>
  <c r="CN104" s="1"/>
  <c r="F16"/>
  <c r="D16"/>
  <c r="CN102" s="1"/>
  <c r="AO15"/>
  <c r="AI15"/>
  <c r="AG15"/>
  <c r="R15"/>
  <c r="I94" s="1"/>
  <c r="CN143" s="1"/>
  <c r="AO14"/>
  <c r="AK14"/>
  <c r="AI14"/>
  <c r="AG14"/>
  <c r="K14"/>
  <c r="I72" s="1"/>
  <c r="CO138" s="1"/>
  <c r="AO13"/>
  <c r="AK13"/>
  <c r="AI13"/>
  <c r="AG13"/>
  <c r="AO12"/>
  <c r="AK12"/>
  <c r="AI12"/>
  <c r="AG12"/>
  <c r="Y12"/>
  <c r="C44" s="1"/>
  <c r="CO129" s="1"/>
  <c r="AO11"/>
  <c r="AK11"/>
  <c r="AI11"/>
  <c r="AG11"/>
  <c r="AI10"/>
  <c r="AG10"/>
  <c r="AC10"/>
  <c r="AP26" s="1"/>
  <c r="V10"/>
  <c r="AP22" s="1"/>
  <c r="O10"/>
  <c r="AP18" s="1"/>
  <c r="H10"/>
  <c r="AP14" s="1"/>
  <c r="AC9"/>
  <c r="AP25" s="1"/>
  <c r="V9"/>
  <c r="AP21" s="1"/>
  <c r="O9"/>
  <c r="AP17" s="1"/>
  <c r="H9"/>
  <c r="AP13" s="1"/>
  <c r="AC8"/>
  <c r="AP24" s="1"/>
  <c r="V8"/>
  <c r="AP20" s="1"/>
  <c r="O8"/>
  <c r="AP16" s="1"/>
  <c r="H8"/>
  <c r="AP12" s="1"/>
  <c r="AC7"/>
  <c r="Y13" s="1"/>
  <c r="C34" s="1"/>
  <c r="CN127" s="1"/>
  <c r="V7"/>
  <c r="R12" s="1"/>
  <c r="C36" s="1"/>
  <c r="CO127" s="1"/>
  <c r="O7"/>
  <c r="K15" s="1"/>
  <c r="I90" s="1"/>
  <c r="CO142" s="1"/>
  <c r="H7"/>
  <c r="D14" s="1"/>
  <c r="I68" s="1"/>
  <c r="CN138" s="1"/>
  <c r="CM145" i="99"/>
  <c r="CL145"/>
  <c r="CK145"/>
  <c r="CJ145"/>
  <c r="CI145"/>
  <c r="CM144"/>
  <c r="CL144"/>
  <c r="CK144"/>
  <c r="CJ144"/>
  <c r="CI144"/>
  <c r="CM143"/>
  <c r="CL143"/>
  <c r="CK143"/>
  <c r="CJ143"/>
  <c r="CI143"/>
  <c r="CM142"/>
  <c r="CL142"/>
  <c r="CK142"/>
  <c r="CJ142"/>
  <c r="CI142"/>
  <c r="CM141"/>
  <c r="CL141"/>
  <c r="CK141"/>
  <c r="CJ141"/>
  <c r="CI141"/>
  <c r="CM140"/>
  <c r="CL140"/>
  <c r="CK140"/>
  <c r="CJ140"/>
  <c r="CI140"/>
  <c r="CM139"/>
  <c r="CL139"/>
  <c r="CK139"/>
  <c r="CJ139"/>
  <c r="CI139"/>
  <c r="CM138"/>
  <c r="CL138"/>
  <c r="CK138"/>
  <c r="CJ138"/>
  <c r="CI138"/>
  <c r="CM137"/>
  <c r="CL137"/>
  <c r="CK137"/>
  <c r="CJ137"/>
  <c r="CI137"/>
  <c r="CM136"/>
  <c r="CL136"/>
  <c r="CK136"/>
  <c r="CJ136"/>
  <c r="CI136"/>
  <c r="CM135"/>
  <c r="CL135"/>
  <c r="CK135"/>
  <c r="CJ135"/>
  <c r="CI135"/>
  <c r="CM134"/>
  <c r="CL134"/>
  <c r="CK134"/>
  <c r="CJ134"/>
  <c r="CI134"/>
  <c r="CM133"/>
  <c r="CL133"/>
  <c r="CK133"/>
  <c r="CJ133"/>
  <c r="CI133"/>
  <c r="CM132"/>
  <c r="CL132"/>
  <c r="CK132"/>
  <c r="CJ132"/>
  <c r="CI132"/>
  <c r="CM131"/>
  <c r="CL131"/>
  <c r="CK131"/>
  <c r="CJ131"/>
  <c r="CI131"/>
  <c r="CM130"/>
  <c r="CL130"/>
  <c r="CK130"/>
  <c r="CJ130"/>
  <c r="CI130"/>
  <c r="CM129"/>
  <c r="CL129"/>
  <c r="CK129"/>
  <c r="CJ129"/>
  <c r="CI129"/>
  <c r="CM128"/>
  <c r="CL128"/>
  <c r="CK128"/>
  <c r="CJ128"/>
  <c r="CI128"/>
  <c r="BB128"/>
  <c r="CM127"/>
  <c r="CL127"/>
  <c r="CK127"/>
  <c r="CJ127"/>
  <c r="CI127"/>
  <c r="CM126"/>
  <c r="CL126"/>
  <c r="CK126"/>
  <c r="CJ126"/>
  <c r="CI126"/>
  <c r="CM125"/>
  <c r="CL125"/>
  <c r="CK125"/>
  <c r="CJ125"/>
  <c r="CI125"/>
  <c r="CM124"/>
  <c r="CL124"/>
  <c r="CK124"/>
  <c r="CJ124"/>
  <c r="CI124"/>
  <c r="CM123"/>
  <c r="CL123"/>
  <c r="CK123"/>
  <c r="CJ123"/>
  <c r="CI123"/>
  <c r="CM122"/>
  <c r="CL122"/>
  <c r="CK122"/>
  <c r="CJ122"/>
  <c r="CI122"/>
  <c r="CM121"/>
  <c r="CL121"/>
  <c r="CK121"/>
  <c r="CJ121"/>
  <c r="CI121"/>
  <c r="CM120"/>
  <c r="CL120"/>
  <c r="CK120"/>
  <c r="CJ120"/>
  <c r="CI120"/>
  <c r="CM119"/>
  <c r="CL119"/>
  <c r="CK119"/>
  <c r="CJ119"/>
  <c r="CI119"/>
  <c r="CM118"/>
  <c r="CL118"/>
  <c r="CK118"/>
  <c r="CJ118"/>
  <c r="CI118"/>
  <c r="CM117"/>
  <c r="CL117"/>
  <c r="CK117"/>
  <c r="CJ117"/>
  <c r="CI117"/>
  <c r="CM116"/>
  <c r="CL116"/>
  <c r="CK116"/>
  <c r="CJ116"/>
  <c r="CI116"/>
  <c r="CM115"/>
  <c r="CL115"/>
  <c r="CK115"/>
  <c r="CJ115"/>
  <c r="CI115"/>
  <c r="CM114"/>
  <c r="CL114"/>
  <c r="CK114"/>
  <c r="CJ114"/>
  <c r="CI114"/>
  <c r="CM113"/>
  <c r="CL113"/>
  <c r="CK113"/>
  <c r="CJ113"/>
  <c r="CI113"/>
  <c r="CM112"/>
  <c r="CL112"/>
  <c r="CK112"/>
  <c r="CJ112"/>
  <c r="CI112"/>
  <c r="CM111"/>
  <c r="CL111"/>
  <c r="CK111"/>
  <c r="CJ111"/>
  <c r="CI111"/>
  <c r="CM110"/>
  <c r="CL110"/>
  <c r="CK110"/>
  <c r="CJ110"/>
  <c r="CI110"/>
  <c r="CM109"/>
  <c r="CL109"/>
  <c r="CK109"/>
  <c r="CJ109"/>
  <c r="CI109"/>
  <c r="CM108"/>
  <c r="CL108"/>
  <c r="CK108"/>
  <c r="CJ108"/>
  <c r="CI108"/>
  <c r="CM107"/>
  <c r="CL107"/>
  <c r="CK107"/>
  <c r="CJ107"/>
  <c r="CI107"/>
  <c r="CM106"/>
  <c r="CL106"/>
  <c r="CK106"/>
  <c r="CJ106"/>
  <c r="CI106"/>
  <c r="CM105"/>
  <c r="CL105"/>
  <c r="CK105"/>
  <c r="CJ105"/>
  <c r="CI105"/>
  <c r="CM104"/>
  <c r="CL104"/>
  <c r="CK104"/>
  <c r="CJ104"/>
  <c r="CI104"/>
  <c r="CM103"/>
  <c r="CL103"/>
  <c r="CK103"/>
  <c r="CJ103"/>
  <c r="CI103"/>
  <c r="CM102"/>
  <c r="CL102"/>
  <c r="CK102"/>
  <c r="CJ102"/>
  <c r="CI102"/>
  <c r="BA127" s="1"/>
  <c r="BB102"/>
  <c r="BA101" s="1"/>
  <c r="O98"/>
  <c r="W96"/>
  <c r="V94"/>
  <c r="O94"/>
  <c r="P96" s="1"/>
  <c r="V90"/>
  <c r="P92" s="1"/>
  <c r="Y88" s="1"/>
  <c r="Y89" s="1"/>
  <c r="O90"/>
  <c r="W88"/>
  <c r="X92" s="1"/>
  <c r="Y86" s="1"/>
  <c r="Y87" s="1"/>
  <c r="AC87"/>
  <c r="AB87"/>
  <c r="AA87"/>
  <c r="Z87"/>
  <c r="O86"/>
  <c r="P88" s="1"/>
  <c r="O80"/>
  <c r="W78"/>
  <c r="V76"/>
  <c r="O76"/>
  <c r="P78" s="1"/>
  <c r="V72"/>
  <c r="P74" s="1"/>
  <c r="Y70" s="1"/>
  <c r="Y71" s="1"/>
  <c r="O72"/>
  <c r="W70"/>
  <c r="X74" s="1"/>
  <c r="Y68" s="1"/>
  <c r="Y69" s="1"/>
  <c r="AC69"/>
  <c r="AB69"/>
  <c r="AA69"/>
  <c r="Z69"/>
  <c r="O68"/>
  <c r="P70" s="1"/>
  <c r="O62"/>
  <c r="W60"/>
  <c r="V58"/>
  <c r="O58"/>
  <c r="P60" s="1"/>
  <c r="V54"/>
  <c r="P56" s="1"/>
  <c r="Y52" s="1"/>
  <c r="Y53" s="1"/>
  <c r="O54"/>
  <c r="AC53"/>
  <c r="AB53"/>
  <c r="AA53"/>
  <c r="Z53"/>
  <c r="W52"/>
  <c r="X56" s="1"/>
  <c r="Y50" s="1"/>
  <c r="Y51" s="1"/>
  <c r="AC51"/>
  <c r="AB51"/>
  <c r="AA51"/>
  <c r="Z51"/>
  <c r="O50"/>
  <c r="P52" s="1"/>
  <c r="H44"/>
  <c r="O43"/>
  <c r="H42"/>
  <c r="I43" s="1"/>
  <c r="W41"/>
  <c r="H40"/>
  <c r="V39"/>
  <c r="O39"/>
  <c r="P41" s="1"/>
  <c r="H38"/>
  <c r="I39" s="1"/>
  <c r="H36"/>
  <c r="V35"/>
  <c r="P37" s="1"/>
  <c r="Y33" s="1"/>
  <c r="Y34" s="1"/>
  <c r="O35"/>
  <c r="AC34"/>
  <c r="AB34"/>
  <c r="AA34"/>
  <c r="Z34"/>
  <c r="H34"/>
  <c r="I35" s="1"/>
  <c r="W33"/>
  <c r="X37" s="1"/>
  <c r="Y31" s="1"/>
  <c r="Y32" s="1"/>
  <c r="AC32"/>
  <c r="AB32"/>
  <c r="AA32"/>
  <c r="Z32"/>
  <c r="H32"/>
  <c r="O31"/>
  <c r="P33" s="1"/>
  <c r="H30"/>
  <c r="I31" s="1"/>
  <c r="AA27"/>
  <c r="Y27"/>
  <c r="CO125" s="1"/>
  <c r="T27"/>
  <c r="R27"/>
  <c r="CO123" s="1"/>
  <c r="M27"/>
  <c r="K27"/>
  <c r="CO121" s="1"/>
  <c r="F27"/>
  <c r="D27"/>
  <c r="CO119" s="1"/>
  <c r="AO26"/>
  <c r="AA26"/>
  <c r="Y26"/>
  <c r="CN125" s="1"/>
  <c r="T26"/>
  <c r="R26"/>
  <c r="CN123" s="1"/>
  <c r="M26"/>
  <c r="K26"/>
  <c r="CN121" s="1"/>
  <c r="F26"/>
  <c r="D26"/>
  <c r="CN119" s="1"/>
  <c r="AO25"/>
  <c r="AI25"/>
  <c r="AG25"/>
  <c r="AA25"/>
  <c r="Y25"/>
  <c r="CO124" s="1"/>
  <c r="T25"/>
  <c r="R25"/>
  <c r="CO122" s="1"/>
  <c r="M25"/>
  <c r="K25"/>
  <c r="CO120" s="1"/>
  <c r="F25"/>
  <c r="D25"/>
  <c r="CO118" s="1"/>
  <c r="AO24"/>
  <c r="AK24"/>
  <c r="AI24"/>
  <c r="AG24"/>
  <c r="AA24"/>
  <c r="Y24"/>
  <c r="CN124" s="1"/>
  <c r="T24"/>
  <c r="R24"/>
  <c r="CN122" s="1"/>
  <c r="M24"/>
  <c r="K24"/>
  <c r="CN120" s="1"/>
  <c r="F24"/>
  <c r="D24"/>
  <c r="CN118" s="1"/>
  <c r="AO23"/>
  <c r="AK23"/>
  <c r="AI23"/>
  <c r="AG23"/>
  <c r="AA23"/>
  <c r="Y23"/>
  <c r="CO117" s="1"/>
  <c r="T23"/>
  <c r="R23"/>
  <c r="CO115" s="1"/>
  <c r="M23"/>
  <c r="K23"/>
  <c r="CO113" s="1"/>
  <c r="F23"/>
  <c r="D23"/>
  <c r="CO111" s="1"/>
  <c r="AO22"/>
  <c r="AK22"/>
  <c r="AI22"/>
  <c r="AG22"/>
  <c r="AA22"/>
  <c r="Y22"/>
  <c r="CN117" s="1"/>
  <c r="T22"/>
  <c r="R22"/>
  <c r="CN115" s="1"/>
  <c r="M22"/>
  <c r="K22"/>
  <c r="CN113" s="1"/>
  <c r="F22"/>
  <c r="D22"/>
  <c r="CN111" s="1"/>
  <c r="AO21"/>
  <c r="AK21"/>
  <c r="AI21"/>
  <c r="AG21"/>
  <c r="AA21"/>
  <c r="Y21"/>
  <c r="CO116" s="1"/>
  <c r="T21"/>
  <c r="R21"/>
  <c r="CO114" s="1"/>
  <c r="M21"/>
  <c r="K21"/>
  <c r="CO112" s="1"/>
  <c r="F21"/>
  <c r="D21"/>
  <c r="CO110" s="1"/>
  <c r="AO20"/>
  <c r="AI20"/>
  <c r="AG20"/>
  <c r="AA20"/>
  <c r="Y20"/>
  <c r="CN116" s="1"/>
  <c r="T20"/>
  <c r="R20"/>
  <c r="CN114" s="1"/>
  <c r="M20"/>
  <c r="K20"/>
  <c r="CN112" s="1"/>
  <c r="F20"/>
  <c r="D20"/>
  <c r="CN110" s="1"/>
  <c r="AO19"/>
  <c r="AK19"/>
  <c r="AI19"/>
  <c r="AG19"/>
  <c r="AA19"/>
  <c r="Y19"/>
  <c r="CO109" s="1"/>
  <c r="T19"/>
  <c r="R19"/>
  <c r="CO107" s="1"/>
  <c r="M19"/>
  <c r="K19"/>
  <c r="CO105" s="1"/>
  <c r="F19"/>
  <c r="D19"/>
  <c r="CO103" s="1"/>
  <c r="AO18"/>
  <c r="AK18"/>
  <c r="AI18"/>
  <c r="AG18"/>
  <c r="AA18"/>
  <c r="Y18"/>
  <c r="CN109" s="1"/>
  <c r="T18"/>
  <c r="R18"/>
  <c r="CN107" s="1"/>
  <c r="M18"/>
  <c r="K18"/>
  <c r="CN105" s="1"/>
  <c r="F18"/>
  <c r="D18"/>
  <c r="CN103" s="1"/>
  <c r="AO17"/>
  <c r="AK17"/>
  <c r="AI17"/>
  <c r="AG17"/>
  <c r="AA17"/>
  <c r="Y17"/>
  <c r="CO108" s="1"/>
  <c r="T17"/>
  <c r="R17"/>
  <c r="CO106" s="1"/>
  <c r="M17"/>
  <c r="K17"/>
  <c r="CO104" s="1"/>
  <c r="F17"/>
  <c r="D17"/>
  <c r="CO102" s="1"/>
  <c r="AO16"/>
  <c r="AK16"/>
  <c r="AI16"/>
  <c r="AG16"/>
  <c r="AA16"/>
  <c r="Y16"/>
  <c r="CN108" s="1"/>
  <c r="T16"/>
  <c r="R16"/>
  <c r="CN106" s="1"/>
  <c r="M16"/>
  <c r="K16"/>
  <c r="CN104" s="1"/>
  <c r="F16"/>
  <c r="D16"/>
  <c r="CN102" s="1"/>
  <c r="AO15"/>
  <c r="AI15"/>
  <c r="AG15"/>
  <c r="AO14"/>
  <c r="AK14"/>
  <c r="AI14"/>
  <c r="AG14"/>
  <c r="Y14"/>
  <c r="I80" s="1"/>
  <c r="CO139" s="1"/>
  <c r="K14"/>
  <c r="I72" s="1"/>
  <c r="CO138" s="1"/>
  <c r="AO13"/>
  <c r="AK13"/>
  <c r="AI13"/>
  <c r="AG13"/>
  <c r="AO12"/>
  <c r="AK12"/>
  <c r="AI12"/>
  <c r="AG12"/>
  <c r="Y12"/>
  <c r="C44" s="1"/>
  <c r="CO129" s="1"/>
  <c r="K12"/>
  <c r="C38" s="1"/>
  <c r="CN128" s="1"/>
  <c r="AO11"/>
  <c r="AK11"/>
  <c r="AI11"/>
  <c r="AG11"/>
  <c r="AI10"/>
  <c r="AG10"/>
  <c r="AC10"/>
  <c r="AP26" s="1"/>
  <c r="V10"/>
  <c r="AP22" s="1"/>
  <c r="O10"/>
  <c r="AP18" s="1"/>
  <c r="H10"/>
  <c r="AP14" s="1"/>
  <c r="AC9"/>
  <c r="AP25" s="1"/>
  <c r="V9"/>
  <c r="AP21" s="1"/>
  <c r="O9"/>
  <c r="AP17" s="1"/>
  <c r="H9"/>
  <c r="AP13" s="1"/>
  <c r="AC8"/>
  <c r="AP24" s="1"/>
  <c r="V8"/>
  <c r="AP20" s="1"/>
  <c r="O8"/>
  <c r="AP16" s="1"/>
  <c r="H8"/>
  <c r="AP12" s="1"/>
  <c r="AC7"/>
  <c r="Y13" s="1"/>
  <c r="C34" s="1"/>
  <c r="CN127" s="1"/>
  <c r="V7"/>
  <c r="R12" s="1"/>
  <c r="C36" s="1"/>
  <c r="CO127" s="1"/>
  <c r="O7"/>
  <c r="K15" s="1"/>
  <c r="I90" s="1"/>
  <c r="CO142" s="1"/>
  <c r="H7"/>
  <c r="D14" s="1"/>
  <c r="I68" s="1"/>
  <c r="CN138" s="1"/>
  <c r="CM145" i="98"/>
  <c r="CL145"/>
  <c r="CK145"/>
  <c r="CJ145"/>
  <c r="CI145"/>
  <c r="CM144"/>
  <c r="CL144"/>
  <c r="CK144"/>
  <c r="CJ144"/>
  <c r="CI144"/>
  <c r="CM143"/>
  <c r="CL143"/>
  <c r="CK143"/>
  <c r="CJ143"/>
  <c r="CI143"/>
  <c r="CM142"/>
  <c r="CL142"/>
  <c r="CK142"/>
  <c r="CJ142"/>
  <c r="CI142"/>
  <c r="CM141"/>
  <c r="CL141"/>
  <c r="CK141"/>
  <c r="CJ141"/>
  <c r="CI141"/>
  <c r="CM140"/>
  <c r="CL140"/>
  <c r="CK140"/>
  <c r="CJ140"/>
  <c r="CI140"/>
  <c r="CM139"/>
  <c r="CL139"/>
  <c r="CK139"/>
  <c r="CJ139"/>
  <c r="CI139"/>
  <c r="CM138"/>
  <c r="CL138"/>
  <c r="CK138"/>
  <c r="CJ138"/>
  <c r="CI138"/>
  <c r="CM137"/>
  <c r="CL137"/>
  <c r="CK137"/>
  <c r="CJ137"/>
  <c r="CI137"/>
  <c r="CM136"/>
  <c r="CL136"/>
  <c r="CK136"/>
  <c r="CJ136"/>
  <c r="CI136"/>
  <c r="CM135"/>
  <c r="CL135"/>
  <c r="CK135"/>
  <c r="CJ135"/>
  <c r="CI135"/>
  <c r="CM134"/>
  <c r="CL134"/>
  <c r="CK134"/>
  <c r="CJ134"/>
  <c r="CI134"/>
  <c r="CM133"/>
  <c r="CL133"/>
  <c r="CK133"/>
  <c r="CJ133"/>
  <c r="CI133"/>
  <c r="CM132"/>
  <c r="CL132"/>
  <c r="CK132"/>
  <c r="CJ132"/>
  <c r="CI132"/>
  <c r="CM131"/>
  <c r="CL131"/>
  <c r="CK131"/>
  <c r="CJ131"/>
  <c r="CI131"/>
  <c r="CM130"/>
  <c r="CL130"/>
  <c r="CK130"/>
  <c r="CJ130"/>
  <c r="CI130"/>
  <c r="CM129"/>
  <c r="CL129"/>
  <c r="CK129"/>
  <c r="CJ129"/>
  <c r="CI129"/>
  <c r="CM128"/>
  <c r="CL128"/>
  <c r="CK128"/>
  <c r="CJ128"/>
  <c r="CI128"/>
  <c r="BB128"/>
  <c r="CM127"/>
  <c r="CL127"/>
  <c r="CK127"/>
  <c r="CJ127"/>
  <c r="CI127"/>
  <c r="CM126"/>
  <c r="CL126"/>
  <c r="CK126"/>
  <c r="CJ126"/>
  <c r="CI126"/>
  <c r="CM125"/>
  <c r="CL125"/>
  <c r="CK125"/>
  <c r="CJ125"/>
  <c r="CI125"/>
  <c r="CM124"/>
  <c r="CL124"/>
  <c r="CK124"/>
  <c r="CJ124"/>
  <c r="CI124"/>
  <c r="CM123"/>
  <c r="CL123"/>
  <c r="CK123"/>
  <c r="CJ123"/>
  <c r="CI123"/>
  <c r="CM122"/>
  <c r="CL122"/>
  <c r="CK122"/>
  <c r="CJ122"/>
  <c r="CI122"/>
  <c r="CM121"/>
  <c r="CL121"/>
  <c r="CK121"/>
  <c r="CJ121"/>
  <c r="CI121"/>
  <c r="CM120"/>
  <c r="CL120"/>
  <c r="CK120"/>
  <c r="CJ120"/>
  <c r="CI120"/>
  <c r="CM119"/>
  <c r="CL119"/>
  <c r="CK119"/>
  <c r="CJ119"/>
  <c r="CI119"/>
  <c r="CM118"/>
  <c r="CL118"/>
  <c r="CK118"/>
  <c r="CJ118"/>
  <c r="CI118"/>
  <c r="CM117"/>
  <c r="CL117"/>
  <c r="CK117"/>
  <c r="CJ117"/>
  <c r="CI117"/>
  <c r="CM116"/>
  <c r="CL116"/>
  <c r="CK116"/>
  <c r="CJ116"/>
  <c r="CI116"/>
  <c r="CM115"/>
  <c r="CL115"/>
  <c r="CK115"/>
  <c r="CJ115"/>
  <c r="CI115"/>
  <c r="CM114"/>
  <c r="CL114"/>
  <c r="CK114"/>
  <c r="CJ114"/>
  <c r="CI114"/>
  <c r="CM113"/>
  <c r="CL113"/>
  <c r="CK113"/>
  <c r="CJ113"/>
  <c r="CI113"/>
  <c r="CM112"/>
  <c r="CL112"/>
  <c r="CK112"/>
  <c r="CJ112"/>
  <c r="CI112"/>
  <c r="CM111"/>
  <c r="CL111"/>
  <c r="CK111"/>
  <c r="CJ111"/>
  <c r="CI111"/>
  <c r="CM110"/>
  <c r="CL110"/>
  <c r="CK110"/>
  <c r="CJ110"/>
  <c r="CI110"/>
  <c r="CM109"/>
  <c r="CL109"/>
  <c r="CK109"/>
  <c r="CJ109"/>
  <c r="CI109"/>
  <c r="CM108"/>
  <c r="CL108"/>
  <c r="CK108"/>
  <c r="CJ108"/>
  <c r="CI108"/>
  <c r="CM107"/>
  <c r="CL107"/>
  <c r="CK107"/>
  <c r="CJ107"/>
  <c r="CI107"/>
  <c r="CM106"/>
  <c r="CL106"/>
  <c r="CK106"/>
  <c r="CJ106"/>
  <c r="CI106"/>
  <c r="CM105"/>
  <c r="CL105"/>
  <c r="CK105"/>
  <c r="CJ105"/>
  <c r="CI105"/>
  <c r="CM104"/>
  <c r="CL104"/>
  <c r="CK104"/>
  <c r="CJ104"/>
  <c r="CI104"/>
  <c r="CM103"/>
  <c r="CL103"/>
  <c r="CK103"/>
  <c r="CJ103"/>
  <c r="CI103"/>
  <c r="CM102"/>
  <c r="CL102"/>
  <c r="CK102"/>
  <c r="CJ102"/>
  <c r="CI102"/>
  <c r="BA127" s="1"/>
  <c r="BB102"/>
  <c r="BA101" s="1"/>
  <c r="O98"/>
  <c r="W96"/>
  <c r="V94"/>
  <c r="O94"/>
  <c r="P96" s="1"/>
  <c r="V90"/>
  <c r="P92" s="1"/>
  <c r="Y88" s="1"/>
  <c r="Y89" s="1"/>
  <c r="O90"/>
  <c r="W88"/>
  <c r="X92" s="1"/>
  <c r="Y86" s="1"/>
  <c r="Y87" s="1"/>
  <c r="AC87"/>
  <c r="AB87"/>
  <c r="AA87"/>
  <c r="Z87"/>
  <c r="O86"/>
  <c r="P88" s="1"/>
  <c r="O80"/>
  <c r="W78"/>
  <c r="V76"/>
  <c r="O76"/>
  <c r="P78" s="1"/>
  <c r="V72"/>
  <c r="P74" s="1"/>
  <c r="Y70" s="1"/>
  <c r="Y71" s="1"/>
  <c r="O72"/>
  <c r="W70"/>
  <c r="X74" s="1"/>
  <c r="Y68" s="1"/>
  <c r="Y69" s="1"/>
  <c r="AC69"/>
  <c r="AB69"/>
  <c r="AA69"/>
  <c r="Z69"/>
  <c r="O68"/>
  <c r="P70" s="1"/>
  <c r="O62"/>
  <c r="W60"/>
  <c r="V58"/>
  <c r="O58"/>
  <c r="P60" s="1"/>
  <c r="V54"/>
  <c r="P56" s="1"/>
  <c r="Y52" s="1"/>
  <c r="Y53" s="1"/>
  <c r="O54"/>
  <c r="AC53"/>
  <c r="AB53"/>
  <c r="AA53"/>
  <c r="Z53"/>
  <c r="W52"/>
  <c r="X56" s="1"/>
  <c r="Y50" s="1"/>
  <c r="Y51" s="1"/>
  <c r="AC51"/>
  <c r="AB51"/>
  <c r="AA51"/>
  <c r="Z51"/>
  <c r="O50"/>
  <c r="P52" s="1"/>
  <c r="H44"/>
  <c r="O43"/>
  <c r="H42"/>
  <c r="I43" s="1"/>
  <c r="W41"/>
  <c r="H40"/>
  <c r="V39"/>
  <c r="O39"/>
  <c r="P41" s="1"/>
  <c r="H38"/>
  <c r="I39" s="1"/>
  <c r="H36"/>
  <c r="V35"/>
  <c r="P37" s="1"/>
  <c r="Y33" s="1"/>
  <c r="Y34" s="1"/>
  <c r="O35"/>
  <c r="AC34"/>
  <c r="AB34"/>
  <c r="AA34"/>
  <c r="Z34"/>
  <c r="H34"/>
  <c r="I35" s="1"/>
  <c r="W33"/>
  <c r="X37" s="1"/>
  <c r="Y31" s="1"/>
  <c r="Y32" s="1"/>
  <c r="AC32"/>
  <c r="AB32"/>
  <c r="AA32"/>
  <c r="Z32"/>
  <c r="H32"/>
  <c r="O31"/>
  <c r="P33" s="1"/>
  <c r="H30"/>
  <c r="I31" s="1"/>
  <c r="AA27"/>
  <c r="Y27"/>
  <c r="CO125" s="1"/>
  <c r="T27"/>
  <c r="R27"/>
  <c r="CO123" s="1"/>
  <c r="M27"/>
  <c r="K27"/>
  <c r="CO121" s="1"/>
  <c r="F27"/>
  <c r="D27"/>
  <c r="CO119" s="1"/>
  <c r="AO26"/>
  <c r="AA26"/>
  <c r="Y26"/>
  <c r="CN125" s="1"/>
  <c r="T26"/>
  <c r="R26"/>
  <c r="CN123" s="1"/>
  <c r="M26"/>
  <c r="K26"/>
  <c r="CN121" s="1"/>
  <c r="F26"/>
  <c r="D26"/>
  <c r="CN119" s="1"/>
  <c r="AO25"/>
  <c r="AI25"/>
  <c r="AG25"/>
  <c r="AA25"/>
  <c r="Y25"/>
  <c r="CO124" s="1"/>
  <c r="T25"/>
  <c r="R25"/>
  <c r="CO122" s="1"/>
  <c r="M25"/>
  <c r="K25"/>
  <c r="CO120" s="1"/>
  <c r="F25"/>
  <c r="D25"/>
  <c r="CO118" s="1"/>
  <c r="AO24"/>
  <c r="AK24"/>
  <c r="AI24"/>
  <c r="AG24"/>
  <c r="AA24"/>
  <c r="Y24"/>
  <c r="CN124" s="1"/>
  <c r="T24"/>
  <c r="R24"/>
  <c r="CN122" s="1"/>
  <c r="M24"/>
  <c r="K24"/>
  <c r="CN120" s="1"/>
  <c r="F24"/>
  <c r="D24"/>
  <c r="CN118" s="1"/>
  <c r="AO23"/>
  <c r="AK23"/>
  <c r="AI23"/>
  <c r="AG23"/>
  <c r="AA23"/>
  <c r="Y23"/>
  <c r="CO117" s="1"/>
  <c r="T23"/>
  <c r="R23"/>
  <c r="CO115" s="1"/>
  <c r="M23"/>
  <c r="K23"/>
  <c r="CO113" s="1"/>
  <c r="F23"/>
  <c r="D23"/>
  <c r="CO111" s="1"/>
  <c r="AO22"/>
  <c r="AK22"/>
  <c r="AI22"/>
  <c r="AG22"/>
  <c r="AA22"/>
  <c r="Y22"/>
  <c r="CN117" s="1"/>
  <c r="T22"/>
  <c r="R22"/>
  <c r="CN115" s="1"/>
  <c r="M22"/>
  <c r="K22"/>
  <c r="CN113" s="1"/>
  <c r="F22"/>
  <c r="D22"/>
  <c r="CN111" s="1"/>
  <c r="AO21"/>
  <c r="AK21"/>
  <c r="AI21"/>
  <c r="AG21"/>
  <c r="AA21"/>
  <c r="Y21"/>
  <c r="CO116" s="1"/>
  <c r="T21"/>
  <c r="R21"/>
  <c r="CO114" s="1"/>
  <c r="M21"/>
  <c r="K21"/>
  <c r="CO112" s="1"/>
  <c r="F21"/>
  <c r="D21"/>
  <c r="CO110" s="1"/>
  <c r="AO20"/>
  <c r="AI20"/>
  <c r="AG20"/>
  <c r="AA20"/>
  <c r="Y20"/>
  <c r="CN116" s="1"/>
  <c r="T20"/>
  <c r="R20"/>
  <c r="CN114" s="1"/>
  <c r="M20"/>
  <c r="K20"/>
  <c r="CN112" s="1"/>
  <c r="F20"/>
  <c r="D20"/>
  <c r="CN110" s="1"/>
  <c r="AO19"/>
  <c r="AK19"/>
  <c r="AI19"/>
  <c r="AG19"/>
  <c r="AA19"/>
  <c r="Y19"/>
  <c r="CO109" s="1"/>
  <c r="T19"/>
  <c r="R19"/>
  <c r="CO107" s="1"/>
  <c r="M19"/>
  <c r="K19"/>
  <c r="CO105" s="1"/>
  <c r="F19"/>
  <c r="D19"/>
  <c r="CO103" s="1"/>
  <c r="AO18"/>
  <c r="AK18"/>
  <c r="AI18"/>
  <c r="AG18"/>
  <c r="AA18"/>
  <c r="Y18"/>
  <c r="CN109" s="1"/>
  <c r="T18"/>
  <c r="R18"/>
  <c r="CN107" s="1"/>
  <c r="M18"/>
  <c r="K18"/>
  <c r="CN105" s="1"/>
  <c r="F18"/>
  <c r="D18"/>
  <c r="CN103" s="1"/>
  <c r="AO17"/>
  <c r="AK17"/>
  <c r="AI17"/>
  <c r="AG17"/>
  <c r="AA17"/>
  <c r="Y17"/>
  <c r="CO108" s="1"/>
  <c r="T17"/>
  <c r="R17"/>
  <c r="CO106" s="1"/>
  <c r="M17"/>
  <c r="K17"/>
  <c r="CO104" s="1"/>
  <c r="F17"/>
  <c r="D17"/>
  <c r="CO102" s="1"/>
  <c r="AO16"/>
  <c r="AK16"/>
  <c r="AI16"/>
  <c r="AG16"/>
  <c r="AA16"/>
  <c r="Y16"/>
  <c r="CN108" s="1"/>
  <c r="T16"/>
  <c r="R16"/>
  <c r="CN106" s="1"/>
  <c r="M16"/>
  <c r="K16"/>
  <c r="CN104" s="1"/>
  <c r="F16"/>
  <c r="D16"/>
  <c r="CN102" s="1"/>
  <c r="AO15"/>
  <c r="AI15"/>
  <c r="AG15"/>
  <c r="AO14"/>
  <c r="AK14"/>
  <c r="AI14"/>
  <c r="AG14"/>
  <c r="K14"/>
  <c r="I72" s="1"/>
  <c r="CO138" s="1"/>
  <c r="AO13"/>
  <c r="AK13"/>
  <c r="AI13"/>
  <c r="AG13"/>
  <c r="AO12"/>
  <c r="AK12"/>
  <c r="AI12"/>
  <c r="AG12"/>
  <c r="Y12"/>
  <c r="C44" s="1"/>
  <c r="CO129" s="1"/>
  <c r="AO11"/>
  <c r="AK11"/>
  <c r="AI11"/>
  <c r="AG11"/>
  <c r="AI10"/>
  <c r="AG10"/>
  <c r="AC10"/>
  <c r="AP26" s="1"/>
  <c r="V10"/>
  <c r="AP22" s="1"/>
  <c r="O10"/>
  <c r="AP18" s="1"/>
  <c r="H10"/>
  <c r="AP14" s="1"/>
  <c r="AC9"/>
  <c r="AP25" s="1"/>
  <c r="V9"/>
  <c r="AP21" s="1"/>
  <c r="O9"/>
  <c r="AP17" s="1"/>
  <c r="H9"/>
  <c r="AP13" s="1"/>
  <c r="AC8"/>
  <c r="AP24" s="1"/>
  <c r="V8"/>
  <c r="AP20" s="1"/>
  <c r="O8"/>
  <c r="AP16" s="1"/>
  <c r="H8"/>
  <c r="AP12" s="1"/>
  <c r="AC7"/>
  <c r="Y13" s="1"/>
  <c r="C34" s="1"/>
  <c r="CN127" s="1"/>
  <c r="V7"/>
  <c r="R12" s="1"/>
  <c r="C36" s="1"/>
  <c r="CO127" s="1"/>
  <c r="O7"/>
  <c r="K15" s="1"/>
  <c r="I90" s="1"/>
  <c r="CO142" s="1"/>
  <c r="H7"/>
  <c r="D14" s="1"/>
  <c r="I68" s="1"/>
  <c r="CN138" s="1"/>
  <c r="CM145" i="97"/>
  <c r="CL145"/>
  <c r="CK145"/>
  <c r="CJ145"/>
  <c r="CI145"/>
  <c r="CM144"/>
  <c r="CL144"/>
  <c r="CK144"/>
  <c r="CJ144"/>
  <c r="CI144"/>
  <c r="CM143"/>
  <c r="CL143"/>
  <c r="CK143"/>
  <c r="CJ143"/>
  <c r="CI143"/>
  <c r="CM142"/>
  <c r="CL142"/>
  <c r="CK142"/>
  <c r="CJ142"/>
  <c r="CI142"/>
  <c r="CM141"/>
  <c r="CL141"/>
  <c r="CK141"/>
  <c r="CJ141"/>
  <c r="CI141"/>
  <c r="CM140"/>
  <c r="CL140"/>
  <c r="CK140"/>
  <c r="CJ140"/>
  <c r="CI140"/>
  <c r="CM139"/>
  <c r="CL139"/>
  <c r="CK139"/>
  <c r="CJ139"/>
  <c r="CI139"/>
  <c r="CM138"/>
  <c r="CL138"/>
  <c r="CK138"/>
  <c r="CJ138"/>
  <c r="CI138"/>
  <c r="CM137"/>
  <c r="CL137"/>
  <c r="CK137"/>
  <c r="CJ137"/>
  <c r="CI137"/>
  <c r="CM136"/>
  <c r="CL136"/>
  <c r="CK136"/>
  <c r="CJ136"/>
  <c r="CI136"/>
  <c r="CM135"/>
  <c r="CL135"/>
  <c r="CK135"/>
  <c r="CJ135"/>
  <c r="CI135"/>
  <c r="CM134"/>
  <c r="CL134"/>
  <c r="CK134"/>
  <c r="CJ134"/>
  <c r="CI134"/>
  <c r="CM133"/>
  <c r="CL133"/>
  <c r="CK133"/>
  <c r="CJ133"/>
  <c r="CI133"/>
  <c r="CM132"/>
  <c r="CL132"/>
  <c r="CK132"/>
  <c r="CJ132"/>
  <c r="CI132"/>
  <c r="CM131"/>
  <c r="CL131"/>
  <c r="CK131"/>
  <c r="CJ131"/>
  <c r="CI131"/>
  <c r="CM130"/>
  <c r="CL130"/>
  <c r="CK130"/>
  <c r="CJ130"/>
  <c r="CI130"/>
  <c r="CM129"/>
  <c r="CL129"/>
  <c r="CK129"/>
  <c r="CJ129"/>
  <c r="CI129"/>
  <c r="CM128"/>
  <c r="CL128"/>
  <c r="CK128"/>
  <c r="CJ128"/>
  <c r="CI128"/>
  <c r="BB128"/>
  <c r="CM127"/>
  <c r="CL127"/>
  <c r="CK127"/>
  <c r="CJ127"/>
  <c r="CI127"/>
  <c r="CM126"/>
  <c r="CL126"/>
  <c r="CK126"/>
  <c r="CJ126"/>
  <c r="CI126"/>
  <c r="CM125"/>
  <c r="CL125"/>
  <c r="CK125"/>
  <c r="CJ125"/>
  <c r="CI125"/>
  <c r="CM124"/>
  <c r="CL124"/>
  <c r="CK124"/>
  <c r="CJ124"/>
  <c r="CI124"/>
  <c r="CM123"/>
  <c r="CL123"/>
  <c r="CK123"/>
  <c r="CJ123"/>
  <c r="CI123"/>
  <c r="CM122"/>
  <c r="CL122"/>
  <c r="CK122"/>
  <c r="CJ122"/>
  <c r="CI122"/>
  <c r="CM121"/>
  <c r="CL121"/>
  <c r="CK121"/>
  <c r="CJ121"/>
  <c r="CI121"/>
  <c r="CM120"/>
  <c r="CL120"/>
  <c r="CK120"/>
  <c r="CJ120"/>
  <c r="CI120"/>
  <c r="CM119"/>
  <c r="CL119"/>
  <c r="CK119"/>
  <c r="CJ119"/>
  <c r="CI119"/>
  <c r="CM118"/>
  <c r="CL118"/>
  <c r="CK118"/>
  <c r="CJ118"/>
  <c r="CI118"/>
  <c r="CM117"/>
  <c r="CL117"/>
  <c r="CK117"/>
  <c r="CJ117"/>
  <c r="CI117"/>
  <c r="CM116"/>
  <c r="CL116"/>
  <c r="CK116"/>
  <c r="CJ116"/>
  <c r="CI116"/>
  <c r="CM115"/>
  <c r="CL115"/>
  <c r="CK115"/>
  <c r="CJ115"/>
  <c r="CI115"/>
  <c r="CM114"/>
  <c r="CL114"/>
  <c r="CK114"/>
  <c r="CJ114"/>
  <c r="CI114"/>
  <c r="CM113"/>
  <c r="CL113"/>
  <c r="CK113"/>
  <c r="CJ113"/>
  <c r="CI113"/>
  <c r="CM112"/>
  <c r="CL112"/>
  <c r="CK112"/>
  <c r="CJ112"/>
  <c r="CI112"/>
  <c r="CM111"/>
  <c r="CL111"/>
  <c r="CK111"/>
  <c r="CJ111"/>
  <c r="CI111"/>
  <c r="CM110"/>
  <c r="CL110"/>
  <c r="CK110"/>
  <c r="CJ110"/>
  <c r="CI110"/>
  <c r="CM109"/>
  <c r="CL109"/>
  <c r="CK109"/>
  <c r="CJ109"/>
  <c r="CI109"/>
  <c r="CM108"/>
  <c r="CL108"/>
  <c r="CK108"/>
  <c r="CJ108"/>
  <c r="CI108"/>
  <c r="CM107"/>
  <c r="CL107"/>
  <c r="CK107"/>
  <c r="CJ107"/>
  <c r="CI107"/>
  <c r="CM106"/>
  <c r="CL106"/>
  <c r="CK106"/>
  <c r="CJ106"/>
  <c r="CI106"/>
  <c r="CM105"/>
  <c r="CL105"/>
  <c r="CK105"/>
  <c r="CJ105"/>
  <c r="CI105"/>
  <c r="CM104"/>
  <c r="CL104"/>
  <c r="CK104"/>
  <c r="CJ104"/>
  <c r="CI104"/>
  <c r="CM103"/>
  <c r="CL103"/>
  <c r="CK103"/>
  <c r="CJ103"/>
  <c r="CI103"/>
  <c r="BA127" s="1"/>
  <c r="CM102"/>
  <c r="CL102"/>
  <c r="CK102"/>
  <c r="CJ102"/>
  <c r="CI102"/>
  <c r="BB102"/>
  <c r="BA101" s="1"/>
  <c r="O98"/>
  <c r="W96"/>
  <c r="V94"/>
  <c r="O94"/>
  <c r="P96" s="1"/>
  <c r="V90"/>
  <c r="P92" s="1"/>
  <c r="Y88" s="1"/>
  <c r="Y89" s="1"/>
  <c r="O90"/>
  <c r="W88"/>
  <c r="X92" s="1"/>
  <c r="Y86" s="1"/>
  <c r="Y87" s="1"/>
  <c r="AC87"/>
  <c r="AB87"/>
  <c r="AA87"/>
  <c r="Z87"/>
  <c r="O86"/>
  <c r="P88" s="1"/>
  <c r="O80"/>
  <c r="W78"/>
  <c r="V76"/>
  <c r="P74" s="1"/>
  <c r="Y70" s="1"/>
  <c r="Y71" s="1"/>
  <c r="O76"/>
  <c r="P78" s="1"/>
  <c r="V72"/>
  <c r="O72"/>
  <c r="W70"/>
  <c r="X74" s="1"/>
  <c r="Y68" s="1"/>
  <c r="Y69" s="1"/>
  <c r="AC69"/>
  <c r="AB69"/>
  <c r="AA69"/>
  <c r="Z69"/>
  <c r="O68"/>
  <c r="P70" s="1"/>
  <c r="O62"/>
  <c r="W60"/>
  <c r="V58"/>
  <c r="O58"/>
  <c r="P60" s="1"/>
  <c r="V54"/>
  <c r="P56" s="1"/>
  <c r="Y52" s="1"/>
  <c r="Y53" s="1"/>
  <c r="O54"/>
  <c r="AC53"/>
  <c r="AB53"/>
  <c r="AA53"/>
  <c r="Z53"/>
  <c r="W52"/>
  <c r="X56" s="1"/>
  <c r="Y50" s="1"/>
  <c r="Y51" s="1"/>
  <c r="AC51"/>
  <c r="AB51"/>
  <c r="AA51"/>
  <c r="Z51"/>
  <c r="O50"/>
  <c r="P52" s="1"/>
  <c r="H44"/>
  <c r="O43"/>
  <c r="H42"/>
  <c r="I43" s="1"/>
  <c r="W41"/>
  <c r="H40"/>
  <c r="I39" s="1"/>
  <c r="V39"/>
  <c r="O39"/>
  <c r="P41" s="1"/>
  <c r="H38"/>
  <c r="H36"/>
  <c r="V35"/>
  <c r="P37" s="1"/>
  <c r="Y33" s="1"/>
  <c r="Y34" s="1"/>
  <c r="O35"/>
  <c r="AC34"/>
  <c r="AB34"/>
  <c r="AA34"/>
  <c r="Z34"/>
  <c r="H34"/>
  <c r="I35" s="1"/>
  <c r="W33"/>
  <c r="X37" s="1"/>
  <c r="Y31" s="1"/>
  <c r="Y32" s="1"/>
  <c r="AC32"/>
  <c r="AB32"/>
  <c r="AA32"/>
  <c r="Z32"/>
  <c r="H32"/>
  <c r="O31"/>
  <c r="P33" s="1"/>
  <c r="H30"/>
  <c r="I31" s="1"/>
  <c r="AA27"/>
  <c r="Y27"/>
  <c r="CO125" s="1"/>
  <c r="T27"/>
  <c r="R27"/>
  <c r="CO123" s="1"/>
  <c r="M27"/>
  <c r="K27"/>
  <c r="CO121" s="1"/>
  <c r="F27"/>
  <c r="D27"/>
  <c r="CO119" s="1"/>
  <c r="AO26"/>
  <c r="AA26"/>
  <c r="Y26"/>
  <c r="CN125" s="1"/>
  <c r="T26"/>
  <c r="R26"/>
  <c r="CN123" s="1"/>
  <c r="M26"/>
  <c r="K26"/>
  <c r="CN121" s="1"/>
  <c r="F26"/>
  <c r="D26"/>
  <c r="CN119" s="1"/>
  <c r="AO25"/>
  <c r="AI25"/>
  <c r="AG25"/>
  <c r="AA25"/>
  <c r="Y25"/>
  <c r="CO124" s="1"/>
  <c r="T25"/>
  <c r="R25"/>
  <c r="CO122" s="1"/>
  <c r="M25"/>
  <c r="K25"/>
  <c r="CO120" s="1"/>
  <c r="F25"/>
  <c r="D25"/>
  <c r="CO118" s="1"/>
  <c r="AO24"/>
  <c r="AK24"/>
  <c r="AI24"/>
  <c r="AG24"/>
  <c r="AA24"/>
  <c r="Y24"/>
  <c r="CN124" s="1"/>
  <c r="T24"/>
  <c r="R24"/>
  <c r="CN122" s="1"/>
  <c r="M24"/>
  <c r="K24"/>
  <c r="CN120" s="1"/>
  <c r="F24"/>
  <c r="D24"/>
  <c r="CN118" s="1"/>
  <c r="AO23"/>
  <c r="AK23"/>
  <c r="AI23"/>
  <c r="AG23"/>
  <c r="AA23"/>
  <c r="Y23"/>
  <c r="CO117" s="1"/>
  <c r="T23"/>
  <c r="R23"/>
  <c r="CO115" s="1"/>
  <c r="M23"/>
  <c r="K23"/>
  <c r="CO113" s="1"/>
  <c r="F23"/>
  <c r="D23"/>
  <c r="CO111" s="1"/>
  <c r="AO22"/>
  <c r="AK22"/>
  <c r="AI22"/>
  <c r="AG22"/>
  <c r="AA22"/>
  <c r="Y22"/>
  <c r="CN117" s="1"/>
  <c r="T22"/>
  <c r="R22"/>
  <c r="CN115" s="1"/>
  <c r="M22"/>
  <c r="K22"/>
  <c r="CN113" s="1"/>
  <c r="F22"/>
  <c r="D22"/>
  <c r="CN111" s="1"/>
  <c r="AO21"/>
  <c r="AK21"/>
  <c r="AI21"/>
  <c r="AG21"/>
  <c r="AA21"/>
  <c r="Y21"/>
  <c r="CO116" s="1"/>
  <c r="T21"/>
  <c r="R21"/>
  <c r="CO114" s="1"/>
  <c r="M21"/>
  <c r="K21"/>
  <c r="CO112" s="1"/>
  <c r="F21"/>
  <c r="D21"/>
  <c r="CO110" s="1"/>
  <c r="AO20"/>
  <c r="AI20"/>
  <c r="AG20"/>
  <c r="AA20"/>
  <c r="Y20"/>
  <c r="CN116" s="1"/>
  <c r="T20"/>
  <c r="R20"/>
  <c r="CN114" s="1"/>
  <c r="M20"/>
  <c r="K20"/>
  <c r="CN112" s="1"/>
  <c r="F20"/>
  <c r="D20"/>
  <c r="CN110" s="1"/>
  <c r="AO19"/>
  <c r="AK19"/>
  <c r="AI19"/>
  <c r="AG19"/>
  <c r="AA19"/>
  <c r="Y19"/>
  <c r="CO109" s="1"/>
  <c r="T19"/>
  <c r="R19"/>
  <c r="CO107" s="1"/>
  <c r="M19"/>
  <c r="K19"/>
  <c r="CO105" s="1"/>
  <c r="F19"/>
  <c r="D19"/>
  <c r="CO103" s="1"/>
  <c r="AO18"/>
  <c r="AK18"/>
  <c r="AI18"/>
  <c r="AG18"/>
  <c r="AA18"/>
  <c r="Y18"/>
  <c r="CN109" s="1"/>
  <c r="T18"/>
  <c r="R18"/>
  <c r="CN107" s="1"/>
  <c r="M18"/>
  <c r="K18"/>
  <c r="CN105" s="1"/>
  <c r="F18"/>
  <c r="D18"/>
  <c r="CN103" s="1"/>
  <c r="AO17"/>
  <c r="AK17"/>
  <c r="AI17"/>
  <c r="AG17"/>
  <c r="AA17"/>
  <c r="Y17"/>
  <c r="CO108" s="1"/>
  <c r="T17"/>
  <c r="R17"/>
  <c r="CO106" s="1"/>
  <c r="M17"/>
  <c r="K17"/>
  <c r="CO104" s="1"/>
  <c r="F17"/>
  <c r="H10" s="1"/>
  <c r="AP14" s="1"/>
  <c r="D17"/>
  <c r="CO102" s="1"/>
  <c r="AO16"/>
  <c r="AK16"/>
  <c r="AI16"/>
  <c r="AG16"/>
  <c r="AA16"/>
  <c r="Y16"/>
  <c r="CN108" s="1"/>
  <c r="T16"/>
  <c r="R16"/>
  <c r="CN106" s="1"/>
  <c r="M16"/>
  <c r="K16"/>
  <c r="CN104" s="1"/>
  <c r="F16"/>
  <c r="H7" s="1"/>
  <c r="D14" s="1"/>
  <c r="I68" s="1"/>
  <c r="CN138" s="1"/>
  <c r="D16"/>
  <c r="CN102" s="1"/>
  <c r="AO15"/>
  <c r="AI15"/>
  <c r="AG15"/>
  <c r="R15"/>
  <c r="I94" s="1"/>
  <c r="CN143" s="1"/>
  <c r="AO14"/>
  <c r="AK14"/>
  <c r="AI14"/>
  <c r="AG14"/>
  <c r="K14"/>
  <c r="I72" s="1"/>
  <c r="CO138" s="1"/>
  <c r="AO13"/>
  <c r="AK13"/>
  <c r="AI13"/>
  <c r="AG13"/>
  <c r="AO12"/>
  <c r="AK12"/>
  <c r="AI12"/>
  <c r="AG12"/>
  <c r="Y12"/>
  <c r="C44" s="1"/>
  <c r="CO129" s="1"/>
  <c r="AO11"/>
  <c r="AK11"/>
  <c r="AI11"/>
  <c r="AG11"/>
  <c r="AI10"/>
  <c r="AG10"/>
  <c r="AC10"/>
  <c r="AP26" s="1"/>
  <c r="V10"/>
  <c r="AP22" s="1"/>
  <c r="O10"/>
  <c r="AP18" s="1"/>
  <c r="AC9"/>
  <c r="AP25" s="1"/>
  <c r="V9"/>
  <c r="AP21" s="1"/>
  <c r="O9"/>
  <c r="AP17" s="1"/>
  <c r="H9"/>
  <c r="AP13" s="1"/>
  <c r="AC8"/>
  <c r="AP24" s="1"/>
  <c r="V8"/>
  <c r="AP20" s="1"/>
  <c r="O8"/>
  <c r="AP16" s="1"/>
  <c r="H8"/>
  <c r="AP12" s="1"/>
  <c r="AC7"/>
  <c r="Y13" s="1"/>
  <c r="C34" s="1"/>
  <c r="CN127" s="1"/>
  <c r="V7"/>
  <c r="R12" s="1"/>
  <c r="C36" s="1"/>
  <c r="CO127" s="1"/>
  <c r="O7"/>
  <c r="K15" s="1"/>
  <c r="I90" s="1"/>
  <c r="CO142" s="1"/>
  <c r="K12" i="96"/>
  <c r="CM145"/>
  <c r="CL145"/>
  <c r="CK145"/>
  <c r="CJ145"/>
  <c r="CI145"/>
  <c r="CM144"/>
  <c r="CL144"/>
  <c r="CK144"/>
  <c r="CJ144"/>
  <c r="CI144"/>
  <c r="CM143"/>
  <c r="CL143"/>
  <c r="CK143"/>
  <c r="CJ143"/>
  <c r="CI143"/>
  <c r="CM142"/>
  <c r="CL142"/>
  <c r="CK142"/>
  <c r="CJ142"/>
  <c r="CI142"/>
  <c r="CM141"/>
  <c r="CL141"/>
  <c r="CK141"/>
  <c r="CJ141"/>
  <c r="CI141"/>
  <c r="CM140"/>
  <c r="CL140"/>
  <c r="CK140"/>
  <c r="CJ140"/>
  <c r="CI140"/>
  <c r="CM139"/>
  <c r="CL139"/>
  <c r="CK139"/>
  <c r="CJ139"/>
  <c r="CI139"/>
  <c r="CM138"/>
  <c r="CL138"/>
  <c r="CK138"/>
  <c r="CJ138"/>
  <c r="CI138"/>
  <c r="CM137"/>
  <c r="CL137"/>
  <c r="CK137"/>
  <c r="CJ137"/>
  <c r="CI137"/>
  <c r="CM136"/>
  <c r="CL136"/>
  <c r="CK136"/>
  <c r="CJ136"/>
  <c r="CI136"/>
  <c r="CM135"/>
  <c r="CL135"/>
  <c r="CK135"/>
  <c r="CJ135"/>
  <c r="CI135"/>
  <c r="CM134"/>
  <c r="CL134"/>
  <c r="CK134"/>
  <c r="CJ134"/>
  <c r="CI134"/>
  <c r="CM133"/>
  <c r="CL133"/>
  <c r="CK133"/>
  <c r="CJ133"/>
  <c r="CI133"/>
  <c r="CM132"/>
  <c r="CL132"/>
  <c r="CK132"/>
  <c r="CJ132"/>
  <c r="CI132"/>
  <c r="CM131"/>
  <c r="CL131"/>
  <c r="CK131"/>
  <c r="CJ131"/>
  <c r="CI131"/>
  <c r="CM130"/>
  <c r="CL130"/>
  <c r="CK130"/>
  <c r="CJ130"/>
  <c r="CI130"/>
  <c r="CM129"/>
  <c r="CL129"/>
  <c r="CK129"/>
  <c r="CJ129"/>
  <c r="CI129"/>
  <c r="CM128"/>
  <c r="CL128"/>
  <c r="CK128"/>
  <c r="CJ128"/>
  <c r="CI128"/>
  <c r="BB128"/>
  <c r="CM127"/>
  <c r="CL127"/>
  <c r="CK127"/>
  <c r="CJ127"/>
  <c r="CI127"/>
  <c r="CM126"/>
  <c r="CL126"/>
  <c r="CK126"/>
  <c r="CJ126"/>
  <c r="CI126"/>
  <c r="CO125"/>
  <c r="CM125"/>
  <c r="CL125"/>
  <c r="CK125"/>
  <c r="CJ125"/>
  <c r="CI125"/>
  <c r="CM124"/>
  <c r="CL124"/>
  <c r="CK124"/>
  <c r="CJ124"/>
  <c r="CI124"/>
  <c r="CM123"/>
  <c r="CL123"/>
  <c r="CK123"/>
  <c r="CJ123"/>
  <c r="CI123"/>
  <c r="CN122"/>
  <c r="CM122"/>
  <c r="CL122"/>
  <c r="CK122"/>
  <c r="CJ122"/>
  <c r="CI122"/>
  <c r="CM121"/>
  <c r="CL121"/>
  <c r="CK121"/>
  <c r="CJ121"/>
  <c r="CI121"/>
  <c r="CM120"/>
  <c r="CL120"/>
  <c r="CK120"/>
  <c r="CJ120"/>
  <c r="CI120"/>
  <c r="CM119"/>
  <c r="CL119"/>
  <c r="CK119"/>
  <c r="CJ119"/>
  <c r="CI119"/>
  <c r="CO118"/>
  <c r="CN118"/>
  <c r="CM118"/>
  <c r="CL118"/>
  <c r="CK118"/>
  <c r="CJ118"/>
  <c r="CI118"/>
  <c r="CO117"/>
  <c r="CN117"/>
  <c r="CM117"/>
  <c r="CL117"/>
  <c r="CK117"/>
  <c r="CJ117"/>
  <c r="CI117"/>
  <c r="CN116"/>
  <c r="CM116"/>
  <c r="CL116"/>
  <c r="CK116"/>
  <c r="CJ116"/>
  <c r="CI116"/>
  <c r="CM115"/>
  <c r="CL115"/>
  <c r="CK115"/>
  <c r="CJ115"/>
  <c r="CI115"/>
  <c r="CM114"/>
  <c r="CL114"/>
  <c r="CK114"/>
  <c r="CJ114"/>
  <c r="CI114"/>
  <c r="CO113"/>
  <c r="CM113"/>
  <c r="CL113"/>
  <c r="CK113"/>
  <c r="CJ113"/>
  <c r="CI113"/>
  <c r="CM112"/>
  <c r="CL112"/>
  <c r="CK112"/>
  <c r="CJ112"/>
  <c r="CI112"/>
  <c r="CM111"/>
  <c r="CL111"/>
  <c r="CK111"/>
  <c r="CJ111"/>
  <c r="CI111"/>
  <c r="CO110"/>
  <c r="CM110"/>
  <c r="CL110"/>
  <c r="CK110"/>
  <c r="CJ110"/>
  <c r="CI110"/>
  <c r="CM109"/>
  <c r="CL109"/>
  <c r="CK109"/>
  <c r="CJ109"/>
  <c r="CI109"/>
  <c r="CM108"/>
  <c r="CL108"/>
  <c r="CK108"/>
  <c r="CJ108"/>
  <c r="CI108"/>
  <c r="CM107"/>
  <c r="CL107"/>
  <c r="CK107"/>
  <c r="CJ107"/>
  <c r="CI107"/>
  <c r="CO106"/>
  <c r="CM106"/>
  <c r="CL106"/>
  <c r="CK106"/>
  <c r="CJ106"/>
  <c r="CI106"/>
  <c r="CM105"/>
  <c r="CL105"/>
  <c r="CK105"/>
  <c r="CJ105"/>
  <c r="CI105"/>
  <c r="CN104"/>
  <c r="CM104"/>
  <c r="CL104"/>
  <c r="CK104"/>
  <c r="CJ104"/>
  <c r="CI104"/>
  <c r="CN103"/>
  <c r="CM103"/>
  <c r="CL103"/>
  <c r="CK103"/>
  <c r="CJ103"/>
  <c r="CI103"/>
  <c r="BA127" s="1"/>
  <c r="CM102"/>
  <c r="CL102"/>
  <c r="CK102"/>
  <c r="CJ102"/>
  <c r="CI102"/>
  <c r="BB102"/>
  <c r="BA101" s="1"/>
  <c r="O98"/>
  <c r="W96"/>
  <c r="V94"/>
  <c r="O94"/>
  <c r="P96" s="1"/>
  <c r="V90"/>
  <c r="P92" s="1"/>
  <c r="Y88" s="1"/>
  <c r="Y89" s="1"/>
  <c r="O90"/>
  <c r="W88"/>
  <c r="X92" s="1"/>
  <c r="Y86" s="1"/>
  <c r="Y87" s="1"/>
  <c r="P88"/>
  <c r="CN145" s="1"/>
  <c r="AC87"/>
  <c r="AB87"/>
  <c r="AA87"/>
  <c r="Z87"/>
  <c r="O86"/>
  <c r="O80"/>
  <c r="P78" s="1"/>
  <c r="W78"/>
  <c r="V76"/>
  <c r="O76"/>
  <c r="V72"/>
  <c r="P74" s="1"/>
  <c r="Y70" s="1"/>
  <c r="Y71" s="1"/>
  <c r="O72"/>
  <c r="W70"/>
  <c r="X74" s="1"/>
  <c r="Y68" s="1"/>
  <c r="Y69" s="1"/>
  <c r="AC69"/>
  <c r="AB69"/>
  <c r="AA69"/>
  <c r="Z69"/>
  <c r="O68"/>
  <c r="P70" s="1"/>
  <c r="O62"/>
  <c r="W60"/>
  <c r="V58"/>
  <c r="O58"/>
  <c r="P60" s="1"/>
  <c r="V54"/>
  <c r="P56" s="1"/>
  <c r="Y52" s="1"/>
  <c r="Y53" s="1"/>
  <c r="O54"/>
  <c r="AC53"/>
  <c r="AB53"/>
  <c r="AA53"/>
  <c r="Z53"/>
  <c r="W52"/>
  <c r="X56" s="1"/>
  <c r="Y50" s="1"/>
  <c r="Y51" s="1"/>
  <c r="P52"/>
  <c r="P54" s="1"/>
  <c r="CN136" s="1"/>
  <c r="AC51"/>
  <c r="AB51"/>
  <c r="AA51"/>
  <c r="Z51"/>
  <c r="O50"/>
  <c r="H44"/>
  <c r="O43"/>
  <c r="H42"/>
  <c r="I43" s="1"/>
  <c r="W41"/>
  <c r="H40"/>
  <c r="V39"/>
  <c r="O39"/>
  <c r="P41" s="1"/>
  <c r="H38"/>
  <c r="I39" s="1"/>
  <c r="H36"/>
  <c r="V35"/>
  <c r="P37" s="1"/>
  <c r="Y33" s="1"/>
  <c r="Y34" s="1"/>
  <c r="O35"/>
  <c r="I35"/>
  <c r="CO130" s="1"/>
  <c r="AC34"/>
  <c r="AB34"/>
  <c r="AA34"/>
  <c r="Z34"/>
  <c r="H34"/>
  <c r="W33"/>
  <c r="X37" s="1"/>
  <c r="Y31" s="1"/>
  <c r="Y32" s="1"/>
  <c r="AC32"/>
  <c r="AB32"/>
  <c r="AA32"/>
  <c r="Z32"/>
  <c r="H32"/>
  <c r="O31"/>
  <c r="P33" s="1"/>
  <c r="I31"/>
  <c r="I50" s="1"/>
  <c r="CN134" s="1"/>
  <c r="H30"/>
  <c r="AA27"/>
  <c r="Y27"/>
  <c r="T27"/>
  <c r="R27"/>
  <c r="CO123" s="1"/>
  <c r="M27"/>
  <c r="K27"/>
  <c r="CO121" s="1"/>
  <c r="F27"/>
  <c r="D27"/>
  <c r="CO119" s="1"/>
  <c r="AO26"/>
  <c r="AA26"/>
  <c r="Y26"/>
  <c r="CN125" s="1"/>
  <c r="T26"/>
  <c r="V9" s="1"/>
  <c r="AP21" s="1"/>
  <c r="R26"/>
  <c r="CN123" s="1"/>
  <c r="M26"/>
  <c r="K26"/>
  <c r="CN121" s="1"/>
  <c r="F26"/>
  <c r="D26"/>
  <c r="CN119" s="1"/>
  <c r="AO25"/>
  <c r="AI25"/>
  <c r="AG25"/>
  <c r="AA25"/>
  <c r="AC10" s="1"/>
  <c r="AP26" s="1"/>
  <c r="Y25"/>
  <c r="CO124" s="1"/>
  <c r="T25"/>
  <c r="R25"/>
  <c r="CO122" s="1"/>
  <c r="M25"/>
  <c r="K25"/>
  <c r="CO120" s="1"/>
  <c r="F25"/>
  <c r="D25"/>
  <c r="AO24"/>
  <c r="AK24"/>
  <c r="AI24"/>
  <c r="AG24"/>
  <c r="AA24"/>
  <c r="Y24"/>
  <c r="CN124" s="1"/>
  <c r="T24"/>
  <c r="R24"/>
  <c r="M24"/>
  <c r="K24"/>
  <c r="CN120" s="1"/>
  <c r="F24"/>
  <c r="D24"/>
  <c r="AO23"/>
  <c r="AK23"/>
  <c r="AI23"/>
  <c r="AG23"/>
  <c r="AA23"/>
  <c r="Y23"/>
  <c r="T23"/>
  <c r="V8" s="1"/>
  <c r="AP20" s="1"/>
  <c r="R23"/>
  <c r="CO115" s="1"/>
  <c r="M23"/>
  <c r="K23"/>
  <c r="F23"/>
  <c r="D23"/>
  <c r="CO111" s="1"/>
  <c r="AO22"/>
  <c r="AK22"/>
  <c r="AI22"/>
  <c r="AG22"/>
  <c r="AA22"/>
  <c r="AC7" s="1"/>
  <c r="Y22"/>
  <c r="T22"/>
  <c r="R22"/>
  <c r="CN115" s="1"/>
  <c r="M22"/>
  <c r="K22"/>
  <c r="CN113" s="1"/>
  <c r="F22"/>
  <c r="D22"/>
  <c r="CN111" s="1"/>
  <c r="AO21"/>
  <c r="AK21"/>
  <c r="AI21"/>
  <c r="AG21"/>
  <c r="AA21"/>
  <c r="Y21"/>
  <c r="CO116" s="1"/>
  <c r="T21"/>
  <c r="R21"/>
  <c r="CO114" s="1"/>
  <c r="M21"/>
  <c r="K21"/>
  <c r="CO112" s="1"/>
  <c r="F21"/>
  <c r="D21"/>
  <c r="AO20"/>
  <c r="AI20"/>
  <c r="AG20"/>
  <c r="AA20"/>
  <c r="Y20"/>
  <c r="T20"/>
  <c r="R20"/>
  <c r="CN114" s="1"/>
  <c r="M20"/>
  <c r="K20"/>
  <c r="CN112" s="1"/>
  <c r="F20"/>
  <c r="D20"/>
  <c r="CN110" s="1"/>
  <c r="AO19"/>
  <c r="AK19"/>
  <c r="AI19"/>
  <c r="AG19"/>
  <c r="AA19"/>
  <c r="AC9" s="1"/>
  <c r="AP25" s="1"/>
  <c r="Y19"/>
  <c r="CO109" s="1"/>
  <c r="T19"/>
  <c r="R19"/>
  <c r="CO107" s="1"/>
  <c r="M19"/>
  <c r="K19"/>
  <c r="CO105" s="1"/>
  <c r="F19"/>
  <c r="D19"/>
  <c r="CO103" s="1"/>
  <c r="AO18"/>
  <c r="AK18"/>
  <c r="AI18"/>
  <c r="AG18"/>
  <c r="AA18"/>
  <c r="AC8" s="1"/>
  <c r="AP24" s="1"/>
  <c r="Y18"/>
  <c r="CN109" s="1"/>
  <c r="T18"/>
  <c r="R18"/>
  <c r="CN107" s="1"/>
  <c r="M18"/>
  <c r="K18"/>
  <c r="CN105" s="1"/>
  <c r="F18"/>
  <c r="D18"/>
  <c r="AO17"/>
  <c r="AK17"/>
  <c r="AI17"/>
  <c r="AG17"/>
  <c r="AA17"/>
  <c r="Y17"/>
  <c r="CO108" s="1"/>
  <c r="T17"/>
  <c r="V10" s="1"/>
  <c r="AP22" s="1"/>
  <c r="R17"/>
  <c r="M17"/>
  <c r="K17"/>
  <c r="CO104" s="1"/>
  <c r="F17"/>
  <c r="D17"/>
  <c r="CO102" s="1"/>
  <c r="AO16"/>
  <c r="AK16"/>
  <c r="AI16"/>
  <c r="AG16"/>
  <c r="AA16"/>
  <c r="Y16"/>
  <c r="CN108" s="1"/>
  <c r="T16"/>
  <c r="V7" s="1"/>
  <c r="R16"/>
  <c r="CN106" s="1"/>
  <c r="M16"/>
  <c r="K16"/>
  <c r="F16"/>
  <c r="H7" s="1"/>
  <c r="D16"/>
  <c r="CN102" s="1"/>
  <c r="AO15"/>
  <c r="AI15"/>
  <c r="AG15"/>
  <c r="AO14"/>
  <c r="AK14"/>
  <c r="AI14"/>
  <c r="AG14"/>
  <c r="AO13"/>
  <c r="AK13"/>
  <c r="AI13"/>
  <c r="AG13"/>
  <c r="AP12"/>
  <c r="AR12" s="1"/>
  <c r="AO12"/>
  <c r="AK12"/>
  <c r="AI12"/>
  <c r="AG12"/>
  <c r="AO11"/>
  <c r="AK11"/>
  <c r="AI11"/>
  <c r="AG11"/>
  <c r="AI10"/>
  <c r="AG10"/>
  <c r="O10"/>
  <c r="AP18" s="1"/>
  <c r="O9"/>
  <c r="AP17" s="1"/>
  <c r="H9"/>
  <c r="AP13" s="1"/>
  <c r="O8"/>
  <c r="AP16" s="1"/>
  <c r="H8"/>
  <c r="O7"/>
  <c r="K15" s="1"/>
  <c r="I90" s="1"/>
  <c r="CO142" s="1"/>
  <c r="AR12" i="100" l="1"/>
  <c r="AQ12"/>
  <c r="AQ13"/>
  <c r="AR13"/>
  <c r="AQ14"/>
  <c r="AR14"/>
  <c r="CN133"/>
  <c r="P35"/>
  <c r="CN132" s="1"/>
  <c r="CO133"/>
  <c r="P39"/>
  <c r="CO132" s="1"/>
  <c r="CO131"/>
  <c r="I62"/>
  <c r="CO135" s="1"/>
  <c r="AQ24"/>
  <c r="AR24"/>
  <c r="AR25"/>
  <c r="AQ25"/>
  <c r="AR26"/>
  <c r="AQ26"/>
  <c r="CN130"/>
  <c r="I50"/>
  <c r="CN134" s="1"/>
  <c r="CO130"/>
  <c r="I54"/>
  <c r="CO134" s="1"/>
  <c r="I58"/>
  <c r="CN135" s="1"/>
  <c r="CN131"/>
  <c r="P54"/>
  <c r="CN136" s="1"/>
  <c r="CN137"/>
  <c r="CO137"/>
  <c r="P58"/>
  <c r="CO136" s="1"/>
  <c r="CN141"/>
  <c r="P72"/>
  <c r="CN140" s="1"/>
  <c r="P76"/>
  <c r="CO140" s="1"/>
  <c r="CO141"/>
  <c r="CN145"/>
  <c r="P90"/>
  <c r="CN144" s="1"/>
  <c r="CO145"/>
  <c r="P94"/>
  <c r="CO144" s="1"/>
  <c r="AQ20"/>
  <c r="AR20"/>
  <c r="AQ21"/>
  <c r="AR21"/>
  <c r="AR22"/>
  <c r="AQ22"/>
  <c r="BA133"/>
  <c r="AQ16"/>
  <c r="AR16"/>
  <c r="AQ17"/>
  <c r="AR17"/>
  <c r="AQ18"/>
  <c r="AR18"/>
  <c r="AP11"/>
  <c r="K12"/>
  <c r="C38" s="1"/>
  <c r="CN128" s="1"/>
  <c r="R13"/>
  <c r="C42" s="1"/>
  <c r="CN129" s="1"/>
  <c r="Y14"/>
  <c r="I80" s="1"/>
  <c r="CO139" s="1"/>
  <c r="D15"/>
  <c r="I86" s="1"/>
  <c r="CN142" s="1"/>
  <c r="BA105"/>
  <c r="BA131"/>
  <c r="D12"/>
  <c r="C30" s="1"/>
  <c r="CN126" s="1"/>
  <c r="K13"/>
  <c r="C32" s="1"/>
  <c r="CO126" s="1"/>
  <c r="R14"/>
  <c r="I76" s="1"/>
  <c r="CN139" s="1"/>
  <c r="Y15"/>
  <c r="I98" s="1"/>
  <c r="CO143" s="1"/>
  <c r="AP15"/>
  <c r="AP19"/>
  <c r="BA107"/>
  <c r="D13"/>
  <c r="C40" s="1"/>
  <c r="CO128" s="1"/>
  <c r="AP23"/>
  <c r="AQ16" i="99"/>
  <c r="AR16"/>
  <c r="AQ17"/>
  <c r="AR17"/>
  <c r="AQ18"/>
  <c r="AR18"/>
  <c r="CN133"/>
  <c r="P35"/>
  <c r="CN132" s="1"/>
  <c r="CO133"/>
  <c r="P39"/>
  <c r="CO132" s="1"/>
  <c r="CO131"/>
  <c r="I62"/>
  <c r="CO135" s="1"/>
  <c r="AR12"/>
  <c r="AQ12"/>
  <c r="AQ13"/>
  <c r="AR13"/>
  <c r="AQ14"/>
  <c r="AR14"/>
  <c r="CN130"/>
  <c r="I50"/>
  <c r="CN134" s="1"/>
  <c r="CO130"/>
  <c r="I54"/>
  <c r="CO134" s="1"/>
  <c r="I58"/>
  <c r="CN135" s="1"/>
  <c r="CN131"/>
  <c r="P54"/>
  <c r="CN136" s="1"/>
  <c r="CN137"/>
  <c r="CO137"/>
  <c r="P58"/>
  <c r="CO136" s="1"/>
  <c r="CN141"/>
  <c r="P72"/>
  <c r="CN140" s="1"/>
  <c r="P76"/>
  <c r="CO140" s="1"/>
  <c r="CO141"/>
  <c r="CN145"/>
  <c r="P90"/>
  <c r="CN144" s="1"/>
  <c r="CO145"/>
  <c r="P94"/>
  <c r="CO144" s="1"/>
  <c r="AQ24"/>
  <c r="AR24"/>
  <c r="AR25"/>
  <c r="AQ25"/>
  <c r="AR26"/>
  <c r="AQ26"/>
  <c r="BA133"/>
  <c r="AQ20"/>
  <c r="AR20"/>
  <c r="AQ21"/>
  <c r="AR21"/>
  <c r="AR22"/>
  <c r="AQ22"/>
  <c r="AP11"/>
  <c r="R13"/>
  <c r="C42" s="1"/>
  <c r="CN129" s="1"/>
  <c r="D15"/>
  <c r="I86" s="1"/>
  <c r="CN142" s="1"/>
  <c r="BA105"/>
  <c r="BA131"/>
  <c r="D12"/>
  <c r="C30" s="1"/>
  <c r="CN126" s="1"/>
  <c r="K13"/>
  <c r="C32" s="1"/>
  <c r="CO126" s="1"/>
  <c r="R14"/>
  <c r="I76" s="1"/>
  <c r="CN139" s="1"/>
  <c r="Y15"/>
  <c r="I98" s="1"/>
  <c r="CO143" s="1"/>
  <c r="AP15"/>
  <c r="AP19"/>
  <c r="BA107"/>
  <c r="D13"/>
  <c r="C40" s="1"/>
  <c r="CO128" s="1"/>
  <c r="R15"/>
  <c r="I94" s="1"/>
  <c r="CN143" s="1"/>
  <c r="AP23"/>
  <c r="AQ24" i="98"/>
  <c r="AR24"/>
  <c r="AR25"/>
  <c r="AQ25"/>
  <c r="AR26"/>
  <c r="AQ26"/>
  <c r="CN133"/>
  <c r="P35"/>
  <c r="CN132" s="1"/>
  <c r="CO133"/>
  <c r="P39"/>
  <c r="CO132" s="1"/>
  <c r="CO131"/>
  <c r="I62"/>
  <c r="CO135" s="1"/>
  <c r="AQ20"/>
  <c r="AR20"/>
  <c r="AQ21"/>
  <c r="AR21"/>
  <c r="AR22"/>
  <c r="AQ22"/>
  <c r="CN130"/>
  <c r="I50"/>
  <c r="CN134" s="1"/>
  <c r="CO130"/>
  <c r="I54"/>
  <c r="CO134" s="1"/>
  <c r="I58"/>
  <c r="CN135" s="1"/>
  <c r="CN131"/>
  <c r="P54"/>
  <c r="CN136" s="1"/>
  <c r="CN137"/>
  <c r="CO137"/>
  <c r="P58"/>
  <c r="CO136" s="1"/>
  <c r="CN141"/>
  <c r="P72"/>
  <c r="CN140" s="1"/>
  <c r="P76"/>
  <c r="CO140" s="1"/>
  <c r="CO141"/>
  <c r="CN145"/>
  <c r="P90"/>
  <c r="CN144" s="1"/>
  <c r="CO145"/>
  <c r="P94"/>
  <c r="CO144" s="1"/>
  <c r="AQ16"/>
  <c r="AR16"/>
  <c r="AQ17"/>
  <c r="AR17"/>
  <c r="AQ18"/>
  <c r="AR18"/>
  <c r="BA133"/>
  <c r="AR12"/>
  <c r="AQ12"/>
  <c r="AQ13"/>
  <c r="AR13"/>
  <c r="AQ14"/>
  <c r="AR14"/>
  <c r="AP11"/>
  <c r="K12"/>
  <c r="C38" s="1"/>
  <c r="CN128" s="1"/>
  <c r="R13"/>
  <c r="C42" s="1"/>
  <c r="CN129" s="1"/>
  <c r="Y14"/>
  <c r="I80" s="1"/>
  <c r="CO139" s="1"/>
  <c r="D15"/>
  <c r="I86" s="1"/>
  <c r="CN142" s="1"/>
  <c r="BA105"/>
  <c r="BA131"/>
  <c r="D12"/>
  <c r="C30" s="1"/>
  <c r="CN126" s="1"/>
  <c r="K13"/>
  <c r="C32" s="1"/>
  <c r="CO126" s="1"/>
  <c r="R14"/>
  <c r="I76" s="1"/>
  <c r="CN139" s="1"/>
  <c r="Y15"/>
  <c r="I98" s="1"/>
  <c r="CO143" s="1"/>
  <c r="AP15"/>
  <c r="AP19"/>
  <c r="BA107"/>
  <c r="D13"/>
  <c r="C40" s="1"/>
  <c r="CO128" s="1"/>
  <c r="R15"/>
  <c r="I94" s="1"/>
  <c r="CN143" s="1"/>
  <c r="AP23"/>
  <c r="H10" i="96"/>
  <c r="AP14" s="1"/>
  <c r="CN133" i="97"/>
  <c r="P35"/>
  <c r="CN132" s="1"/>
  <c r="CO133"/>
  <c r="P39"/>
  <c r="CO132" s="1"/>
  <c r="CO131"/>
  <c r="I62"/>
  <c r="CO135" s="1"/>
  <c r="AR12"/>
  <c r="AQ12"/>
  <c r="AQ14"/>
  <c r="AR14"/>
  <c r="AQ24"/>
  <c r="AR24"/>
  <c r="AR25"/>
  <c r="AQ25"/>
  <c r="AR26"/>
  <c r="AQ26"/>
  <c r="CN130"/>
  <c r="I50"/>
  <c r="CN134" s="1"/>
  <c r="CO130"/>
  <c r="I54"/>
  <c r="CO134" s="1"/>
  <c r="P54"/>
  <c r="CN136" s="1"/>
  <c r="CN137"/>
  <c r="CO137"/>
  <c r="P58"/>
  <c r="CO136" s="1"/>
  <c r="CN141"/>
  <c r="P72"/>
  <c r="CN140" s="1"/>
  <c r="P76"/>
  <c r="CO140" s="1"/>
  <c r="CO141"/>
  <c r="CN145"/>
  <c r="P90"/>
  <c r="CN144" s="1"/>
  <c r="CO145"/>
  <c r="P94"/>
  <c r="CO144" s="1"/>
  <c r="AQ13"/>
  <c r="AR13"/>
  <c r="AQ20"/>
  <c r="AR20"/>
  <c r="AQ21"/>
  <c r="AR21"/>
  <c r="AR22"/>
  <c r="AQ22"/>
  <c r="I58"/>
  <c r="CN135" s="1"/>
  <c r="CN131"/>
  <c r="BA133"/>
  <c r="AQ16"/>
  <c r="AR16"/>
  <c r="AQ17"/>
  <c r="AR17"/>
  <c r="AQ18"/>
  <c r="AR18"/>
  <c r="AP11"/>
  <c r="K12"/>
  <c r="C38" s="1"/>
  <c r="CN128" s="1"/>
  <c r="R13"/>
  <c r="C42" s="1"/>
  <c r="CN129" s="1"/>
  <c r="Y14"/>
  <c r="I80" s="1"/>
  <c r="CO139" s="1"/>
  <c r="D15"/>
  <c r="I86" s="1"/>
  <c r="CN142" s="1"/>
  <c r="BA105"/>
  <c r="BA131"/>
  <c r="D12"/>
  <c r="C30" s="1"/>
  <c r="CN126" s="1"/>
  <c r="K13"/>
  <c r="C32" s="1"/>
  <c r="CO126" s="1"/>
  <c r="R14"/>
  <c r="I76" s="1"/>
  <c r="CN139" s="1"/>
  <c r="Y15"/>
  <c r="I98" s="1"/>
  <c r="CO143" s="1"/>
  <c r="AP15"/>
  <c r="AP19"/>
  <c r="BA107"/>
  <c r="D13"/>
  <c r="C40" s="1"/>
  <c r="CO128" s="1"/>
  <c r="AP23"/>
  <c r="BA133" i="96"/>
  <c r="BA139" s="1"/>
  <c r="Y13"/>
  <c r="C34" s="1"/>
  <c r="CN127" s="1"/>
  <c r="Y14"/>
  <c r="I80" s="1"/>
  <c r="CO139" s="1"/>
  <c r="AP23"/>
  <c r="Y12"/>
  <c r="C44" s="1"/>
  <c r="CO129" s="1"/>
  <c r="Y15"/>
  <c r="I98" s="1"/>
  <c r="CO143" s="1"/>
  <c r="CO131"/>
  <c r="I62"/>
  <c r="CO135" s="1"/>
  <c r="CO137"/>
  <c r="P58"/>
  <c r="CO136" s="1"/>
  <c r="AQ18"/>
  <c r="AR18"/>
  <c r="R12"/>
  <c r="C36" s="1"/>
  <c r="CO127" s="1"/>
  <c r="R15"/>
  <c r="I94" s="1"/>
  <c r="CN143" s="1"/>
  <c r="AP19"/>
  <c r="R13"/>
  <c r="C42" s="1"/>
  <c r="CN129" s="1"/>
  <c r="R14"/>
  <c r="I76" s="1"/>
  <c r="CN139" s="1"/>
  <c r="AR14"/>
  <c r="AQ14"/>
  <c r="CN133"/>
  <c r="P35"/>
  <c r="CN132" s="1"/>
  <c r="I58"/>
  <c r="CN135" s="1"/>
  <c r="CN131"/>
  <c r="P76"/>
  <c r="CO140" s="1"/>
  <c r="CO141"/>
  <c r="AR26"/>
  <c r="AQ26"/>
  <c r="CN141"/>
  <c r="P72"/>
  <c r="CN140" s="1"/>
  <c r="D15"/>
  <c r="I86" s="1"/>
  <c r="CN142" s="1"/>
  <c r="AP11"/>
  <c r="AP28" s="1"/>
  <c r="D13"/>
  <c r="C40" s="1"/>
  <c r="CO128" s="1"/>
  <c r="D12"/>
  <c r="C30" s="1"/>
  <c r="CN126" s="1"/>
  <c r="AR22"/>
  <c r="AQ22"/>
  <c r="AQ17"/>
  <c r="AR17"/>
  <c r="AR20"/>
  <c r="AQ20"/>
  <c r="AQ16"/>
  <c r="AR16"/>
  <c r="CO133"/>
  <c r="P39"/>
  <c r="CO132" s="1"/>
  <c r="AQ13"/>
  <c r="AR13"/>
  <c r="AR24"/>
  <c r="AQ24"/>
  <c r="AR25"/>
  <c r="AQ25"/>
  <c r="AQ21"/>
  <c r="AR21"/>
  <c r="CO145"/>
  <c r="P94"/>
  <c r="CO144" s="1"/>
  <c r="AP15"/>
  <c r="CN130"/>
  <c r="C38"/>
  <c r="CN128" s="1"/>
  <c r="AQ12"/>
  <c r="BA105"/>
  <c r="BA131"/>
  <c r="K13"/>
  <c r="C32" s="1"/>
  <c r="CO126" s="1"/>
  <c r="I54"/>
  <c r="CO134" s="1"/>
  <c r="BA107"/>
  <c r="K14"/>
  <c r="I72" s="1"/>
  <c r="CO138" s="1"/>
  <c r="CN137"/>
  <c r="P90"/>
  <c r="CN144" s="1"/>
  <c r="AQ23" i="100" l="1"/>
  <c r="AR23"/>
  <c r="AR15"/>
  <c r="AQ15"/>
  <c r="AR19"/>
  <c r="AQ19"/>
  <c r="AQ11"/>
  <c r="AQ28" s="1"/>
  <c r="AP28"/>
  <c r="AR11"/>
  <c r="AR28" s="1"/>
  <c r="BA123"/>
  <c r="BA113"/>
  <c r="BA118"/>
  <c r="BA116"/>
  <c r="BA121"/>
  <c r="BA111"/>
  <c r="BA139"/>
  <c r="BA149"/>
  <c r="BA144"/>
  <c r="BA142"/>
  <c r="BA147"/>
  <c r="BA137"/>
  <c r="BA123" i="99"/>
  <c r="BA113"/>
  <c r="BA118"/>
  <c r="BA116"/>
  <c r="BA121"/>
  <c r="BA111"/>
  <c r="BA142"/>
  <c r="BA147"/>
  <c r="BA137"/>
  <c r="AQ11"/>
  <c r="AP28"/>
  <c r="AR11"/>
  <c r="AR15"/>
  <c r="AQ15"/>
  <c r="BA139"/>
  <c r="BA149"/>
  <c r="BA144"/>
  <c r="AQ23"/>
  <c r="AR23"/>
  <c r="AR19"/>
  <c r="AQ19"/>
  <c r="AR15" i="98"/>
  <c r="AQ15"/>
  <c r="AQ23"/>
  <c r="AR23"/>
  <c r="AR19"/>
  <c r="AQ19"/>
  <c r="AQ11"/>
  <c r="AQ28" s="1"/>
  <c r="AP28"/>
  <c r="AR11"/>
  <c r="AR28" s="1"/>
  <c r="BA123"/>
  <c r="BA113"/>
  <c r="BA118"/>
  <c r="BA116"/>
  <c r="BA121"/>
  <c r="BA111"/>
  <c r="BA139"/>
  <c r="BA149"/>
  <c r="BA144"/>
  <c r="BA142"/>
  <c r="BA147"/>
  <c r="BA137"/>
  <c r="D14" i="96"/>
  <c r="I68" s="1"/>
  <c r="CN138" s="1"/>
  <c r="AQ23" i="97"/>
  <c r="AR23"/>
  <c r="AR15"/>
  <c r="AQ15"/>
  <c r="AR19"/>
  <c r="AQ19"/>
  <c r="AQ11"/>
  <c r="AQ28" s="1"/>
  <c r="AP28"/>
  <c r="AR11"/>
  <c r="AR28" s="1"/>
  <c r="BA123"/>
  <c r="BA113"/>
  <c r="BA118"/>
  <c r="BA116"/>
  <c r="BA121"/>
  <c r="BA111"/>
  <c r="BA139"/>
  <c r="BA149"/>
  <c r="BA144"/>
  <c r="BA142"/>
  <c r="BA147"/>
  <c r="BA137"/>
  <c r="BA149" i="96"/>
  <c r="BA144"/>
  <c r="BA123"/>
  <c r="BA113"/>
  <c r="BA118"/>
  <c r="BA116"/>
  <c r="BA121"/>
  <c r="BA111"/>
  <c r="AR15"/>
  <c r="AQ15"/>
  <c r="BA142"/>
  <c r="BA147"/>
  <c r="BA137"/>
  <c r="AR19"/>
  <c r="AQ19"/>
  <c r="AQ11"/>
  <c r="AQ28" s="1"/>
  <c r="AR11"/>
  <c r="AR28" s="1"/>
  <c r="AQ23"/>
  <c r="AR23"/>
  <c r="AQ28" i="99" l="1"/>
  <c r="AR28"/>
</calcChain>
</file>

<file path=xl/comments1.xml><?xml version="1.0" encoding="utf-8"?>
<comments xmlns="http://schemas.openxmlformats.org/spreadsheetml/2006/main">
  <authors>
    <author>Alvaro Pinto</author>
  </authors>
  <commentList>
    <comment ref="AS9" authorId="0">
      <text>
        <r>
          <rPr>
            <b/>
            <sz val="9"/>
            <color indexed="81"/>
            <rFont val="Tahoma"/>
            <family val="2"/>
          </rPr>
          <t>ATENÇÃO:</t>
        </r>
        <r>
          <rPr>
            <sz val="9"/>
            <color indexed="81"/>
            <rFont val="Tahoma"/>
            <family val="2"/>
          </rPr>
          <t xml:space="preserve"> Se um jogador/par for impedido de completar as partidas do grupo, por doença, lesão, desqualificação ou outra situação inevitável então todos os resultados que o jogador/par obtiver são eliminados.
</t>
        </r>
        <r>
          <rPr>
            <b/>
            <sz val="9"/>
            <color indexed="81"/>
            <rFont val="Tahoma"/>
            <family val="2"/>
          </rPr>
          <t>Critérios sequenciais:</t>
        </r>
        <r>
          <rPr>
            <sz val="9"/>
            <color indexed="81"/>
            <rFont val="Tahoma"/>
            <family val="2"/>
          </rPr>
          <t xml:space="preserve">
1º - Se </t>
        </r>
        <r>
          <rPr>
            <b/>
            <sz val="9"/>
            <color indexed="81"/>
            <rFont val="Tahoma"/>
            <family val="2"/>
          </rPr>
          <t>dois</t>
        </r>
        <r>
          <rPr>
            <sz val="9"/>
            <color indexed="81"/>
            <rFont val="Tahoma"/>
            <family val="2"/>
          </rPr>
          <t xml:space="preserve"> jogadores/pares tiverem o</t>
        </r>
        <r>
          <rPr>
            <b/>
            <sz val="9"/>
            <color indexed="81"/>
            <rFont val="Tahoma"/>
            <family val="2"/>
          </rPr>
          <t xml:space="preserve"> mesmo número de jogos ganhos</t>
        </r>
        <r>
          <rPr>
            <sz val="9"/>
            <color indexed="81"/>
            <rFont val="Tahoma"/>
            <family val="2"/>
          </rPr>
          <t xml:space="preserve"> então o </t>
        </r>
        <r>
          <rPr>
            <b/>
            <sz val="9"/>
            <color indexed="81"/>
            <rFont val="Tahoma"/>
            <family val="2"/>
          </rPr>
          <t>vencedor do jogo entre eles</t>
        </r>
        <r>
          <rPr>
            <sz val="9"/>
            <color indexed="81"/>
            <rFont val="Tahoma"/>
            <family val="2"/>
          </rPr>
          <t xml:space="preserve"> será́ o melhor classificado.
2º - Se</t>
        </r>
        <r>
          <rPr>
            <b/>
            <sz val="9"/>
            <color indexed="81"/>
            <rFont val="Tahoma"/>
            <family val="2"/>
          </rPr>
          <t xml:space="preserve"> três ou mais</t>
        </r>
        <r>
          <rPr>
            <sz val="9"/>
            <color indexed="81"/>
            <rFont val="Tahoma"/>
            <family val="2"/>
          </rPr>
          <t xml:space="preserve"> jogadores/pares </t>
        </r>
        <r>
          <rPr>
            <b/>
            <sz val="9"/>
            <color indexed="81"/>
            <rFont val="Tahoma"/>
            <family val="2"/>
          </rPr>
          <t>ganharam o mesmo número de jogos</t>
        </r>
        <r>
          <rPr>
            <sz val="9"/>
            <color indexed="81"/>
            <rFont val="Tahoma"/>
            <family val="2"/>
          </rPr>
          <t xml:space="preserve"> então a classificação será́ estabelecida pela </t>
        </r>
        <r>
          <rPr>
            <b/>
            <sz val="9"/>
            <color indexed="81"/>
            <rFont val="Tahoma"/>
            <family val="2"/>
          </rPr>
          <t>diferença entre o total de sets ganhos e perdido</t>
        </r>
        <r>
          <rPr>
            <sz val="9"/>
            <color indexed="81"/>
            <rFont val="Tahoma"/>
            <family val="2"/>
          </rPr>
          <t xml:space="preserve">s com a melhor diferença a ficar melhor classificado.
3º - Se </t>
        </r>
        <r>
          <rPr>
            <b/>
            <sz val="9"/>
            <color indexed="81"/>
            <rFont val="Tahoma"/>
            <family val="2"/>
          </rPr>
          <t>ainda</t>
        </r>
        <r>
          <rPr>
            <sz val="9"/>
            <color indexed="81"/>
            <rFont val="Tahoma"/>
            <family val="2"/>
          </rPr>
          <t xml:space="preserve"> assim houver </t>
        </r>
        <r>
          <rPr>
            <b/>
            <sz val="9"/>
            <color indexed="81"/>
            <rFont val="Tahoma"/>
            <family val="2"/>
          </rPr>
          <t>dois</t>
        </r>
        <r>
          <rPr>
            <sz val="9"/>
            <color indexed="81"/>
            <rFont val="Tahoma"/>
            <family val="2"/>
          </rPr>
          <t xml:space="preserve"> jogadores/pares empatados o </t>
        </r>
        <r>
          <rPr>
            <b/>
            <sz val="9"/>
            <color indexed="81"/>
            <rFont val="Tahoma"/>
            <family val="2"/>
          </rPr>
          <t>vencedor do jogo entre eles</t>
        </r>
        <r>
          <rPr>
            <sz val="9"/>
            <color indexed="81"/>
            <rFont val="Tahoma"/>
            <family val="2"/>
          </rPr>
          <t xml:space="preserve"> será́ o melhor classificado.
</t>
        </r>
        <r>
          <rPr>
            <b/>
            <sz val="9"/>
            <color indexed="81"/>
            <rFont val="Tahoma"/>
            <family val="2"/>
          </rPr>
          <t>OU</t>
        </r>
        <r>
          <rPr>
            <sz val="9"/>
            <color indexed="81"/>
            <rFont val="Tahoma"/>
            <family val="2"/>
          </rPr>
          <t xml:space="preserve">
4º - Se</t>
        </r>
        <r>
          <rPr>
            <b/>
            <sz val="9"/>
            <color indexed="81"/>
            <rFont val="Tahoma"/>
            <family val="2"/>
          </rPr>
          <t xml:space="preserve"> ainda</t>
        </r>
        <r>
          <rPr>
            <sz val="9"/>
            <color indexed="81"/>
            <rFont val="Tahoma"/>
            <family val="2"/>
          </rPr>
          <t xml:space="preserve"> assim houver</t>
        </r>
        <r>
          <rPr>
            <b/>
            <sz val="9"/>
            <color indexed="81"/>
            <rFont val="Tahoma"/>
            <family val="2"/>
          </rPr>
          <t xml:space="preserve"> três ou mais</t>
        </r>
        <r>
          <rPr>
            <sz val="9"/>
            <color indexed="81"/>
            <rFont val="Tahoma"/>
            <family val="2"/>
          </rPr>
          <t xml:space="preserve"> jogadores/pares empatados então a classificação será́ estabelecida pela </t>
        </r>
        <r>
          <rPr>
            <b/>
            <sz val="9"/>
            <color indexed="81"/>
            <rFont val="Tahoma"/>
            <family val="2"/>
          </rPr>
          <t>diferença entre o total de pontos ganhos e perdidos</t>
        </r>
        <r>
          <rPr>
            <sz val="9"/>
            <color indexed="81"/>
            <rFont val="Tahoma"/>
            <family val="2"/>
          </rPr>
          <t xml:space="preserve">, com a melhor diferença a pertencer à melhor classificação.
5º -  Se </t>
        </r>
        <r>
          <rPr>
            <b/>
            <sz val="9"/>
            <color indexed="81"/>
            <rFont val="Tahoma"/>
            <family val="2"/>
          </rPr>
          <t>ainda</t>
        </r>
        <r>
          <rPr>
            <sz val="9"/>
            <color indexed="81"/>
            <rFont val="Tahoma"/>
            <family val="2"/>
          </rPr>
          <t xml:space="preserve"> assim houver</t>
        </r>
        <r>
          <rPr>
            <b/>
            <sz val="9"/>
            <color indexed="81"/>
            <rFont val="Tahoma"/>
            <family val="2"/>
          </rPr>
          <t xml:space="preserve"> dois</t>
        </r>
        <r>
          <rPr>
            <sz val="9"/>
            <color indexed="81"/>
            <rFont val="Tahoma"/>
            <family val="2"/>
          </rPr>
          <t xml:space="preserve"> jogadores/pares empatados o</t>
        </r>
        <r>
          <rPr>
            <b/>
            <sz val="9"/>
            <color indexed="81"/>
            <rFont val="Tahoma"/>
            <family val="2"/>
          </rPr>
          <t xml:space="preserve"> vencedor do jogo entre eles</t>
        </r>
        <r>
          <rPr>
            <sz val="9"/>
            <color indexed="81"/>
            <rFont val="Tahoma"/>
            <family val="2"/>
          </rPr>
          <t xml:space="preserve"> será́ o melhor classificado.
6º - Finalmente, se</t>
        </r>
        <r>
          <rPr>
            <b/>
            <sz val="9"/>
            <color indexed="81"/>
            <rFont val="Tahoma"/>
            <family val="2"/>
          </rPr>
          <t xml:space="preserve"> mesmo assim três ou mais</t>
        </r>
        <r>
          <rPr>
            <sz val="9"/>
            <color indexed="81"/>
            <rFont val="Tahoma"/>
            <family val="2"/>
          </rPr>
          <t xml:space="preserve"> jogadores/pares ainda ficarem empatados a classificação será́ estabelecida por</t>
        </r>
        <r>
          <rPr>
            <b/>
            <sz val="9"/>
            <color indexed="81"/>
            <rFont val="Tahoma"/>
            <family val="2"/>
          </rPr>
          <t xml:space="preserve"> sorteio</t>
        </r>
        <r>
          <rPr>
            <sz val="9"/>
            <color indexed="81"/>
            <rFont val="Tahoma"/>
            <family val="2"/>
          </rPr>
          <t>.</t>
        </r>
      </text>
    </comment>
  </commentList>
</comments>
</file>

<file path=xl/comments2.xml><?xml version="1.0" encoding="utf-8"?>
<comments xmlns="http://schemas.openxmlformats.org/spreadsheetml/2006/main">
  <authors>
    <author>Alvaro Pinto</author>
  </authors>
  <commentList>
    <comment ref="AS9" authorId="0">
      <text>
        <r>
          <rPr>
            <b/>
            <sz val="9"/>
            <color indexed="81"/>
            <rFont val="Tahoma"/>
            <family val="2"/>
          </rPr>
          <t>ATENÇÃO:</t>
        </r>
        <r>
          <rPr>
            <sz val="9"/>
            <color indexed="81"/>
            <rFont val="Tahoma"/>
            <family val="2"/>
          </rPr>
          <t xml:space="preserve"> Se um jogador/par for impedido de completar as partidas do grupo, por doença, lesão, desqualificação ou outra situação inevitável então todos os resultados que o jogador/par obtiver são eliminados.
</t>
        </r>
        <r>
          <rPr>
            <b/>
            <sz val="9"/>
            <color indexed="81"/>
            <rFont val="Tahoma"/>
            <family val="2"/>
          </rPr>
          <t>Critérios sequenciais:</t>
        </r>
        <r>
          <rPr>
            <sz val="9"/>
            <color indexed="81"/>
            <rFont val="Tahoma"/>
            <family val="2"/>
          </rPr>
          <t xml:space="preserve">
1º - Se </t>
        </r>
        <r>
          <rPr>
            <b/>
            <sz val="9"/>
            <color indexed="81"/>
            <rFont val="Tahoma"/>
            <family val="2"/>
          </rPr>
          <t>dois</t>
        </r>
        <r>
          <rPr>
            <sz val="9"/>
            <color indexed="81"/>
            <rFont val="Tahoma"/>
            <family val="2"/>
          </rPr>
          <t xml:space="preserve"> jogadores/pares tiverem o</t>
        </r>
        <r>
          <rPr>
            <b/>
            <sz val="9"/>
            <color indexed="81"/>
            <rFont val="Tahoma"/>
            <family val="2"/>
          </rPr>
          <t xml:space="preserve"> mesmo número de jogos ganhos</t>
        </r>
        <r>
          <rPr>
            <sz val="9"/>
            <color indexed="81"/>
            <rFont val="Tahoma"/>
            <family val="2"/>
          </rPr>
          <t xml:space="preserve"> então o </t>
        </r>
        <r>
          <rPr>
            <b/>
            <sz val="9"/>
            <color indexed="81"/>
            <rFont val="Tahoma"/>
            <family val="2"/>
          </rPr>
          <t>vencedor do jogo entre eles</t>
        </r>
        <r>
          <rPr>
            <sz val="9"/>
            <color indexed="81"/>
            <rFont val="Tahoma"/>
            <family val="2"/>
          </rPr>
          <t xml:space="preserve"> será́ o melhor classificado.
2º - Se</t>
        </r>
        <r>
          <rPr>
            <b/>
            <sz val="9"/>
            <color indexed="81"/>
            <rFont val="Tahoma"/>
            <family val="2"/>
          </rPr>
          <t xml:space="preserve"> três ou mais</t>
        </r>
        <r>
          <rPr>
            <sz val="9"/>
            <color indexed="81"/>
            <rFont val="Tahoma"/>
            <family val="2"/>
          </rPr>
          <t xml:space="preserve"> jogadores/pares </t>
        </r>
        <r>
          <rPr>
            <b/>
            <sz val="9"/>
            <color indexed="81"/>
            <rFont val="Tahoma"/>
            <family val="2"/>
          </rPr>
          <t>ganharam o mesmo número de jogos</t>
        </r>
        <r>
          <rPr>
            <sz val="9"/>
            <color indexed="81"/>
            <rFont val="Tahoma"/>
            <family val="2"/>
          </rPr>
          <t xml:space="preserve"> então a classificação será́ estabelecida pela </t>
        </r>
        <r>
          <rPr>
            <b/>
            <sz val="9"/>
            <color indexed="81"/>
            <rFont val="Tahoma"/>
            <family val="2"/>
          </rPr>
          <t>diferença entre o total de sets ganhos e perdido</t>
        </r>
        <r>
          <rPr>
            <sz val="9"/>
            <color indexed="81"/>
            <rFont val="Tahoma"/>
            <family val="2"/>
          </rPr>
          <t xml:space="preserve">s com a melhor diferença a ficar melhor classificado.
3º - Se </t>
        </r>
        <r>
          <rPr>
            <b/>
            <sz val="9"/>
            <color indexed="81"/>
            <rFont val="Tahoma"/>
            <family val="2"/>
          </rPr>
          <t>ainda</t>
        </r>
        <r>
          <rPr>
            <sz val="9"/>
            <color indexed="81"/>
            <rFont val="Tahoma"/>
            <family val="2"/>
          </rPr>
          <t xml:space="preserve"> assim houver </t>
        </r>
        <r>
          <rPr>
            <b/>
            <sz val="9"/>
            <color indexed="81"/>
            <rFont val="Tahoma"/>
            <family val="2"/>
          </rPr>
          <t>dois</t>
        </r>
        <r>
          <rPr>
            <sz val="9"/>
            <color indexed="81"/>
            <rFont val="Tahoma"/>
            <family val="2"/>
          </rPr>
          <t xml:space="preserve"> jogadores/pares empatados o </t>
        </r>
        <r>
          <rPr>
            <b/>
            <sz val="9"/>
            <color indexed="81"/>
            <rFont val="Tahoma"/>
            <family val="2"/>
          </rPr>
          <t>vencedor do jogo entre eles</t>
        </r>
        <r>
          <rPr>
            <sz val="9"/>
            <color indexed="81"/>
            <rFont val="Tahoma"/>
            <family val="2"/>
          </rPr>
          <t xml:space="preserve"> será́ o melhor classificado.
</t>
        </r>
        <r>
          <rPr>
            <b/>
            <sz val="9"/>
            <color indexed="81"/>
            <rFont val="Tahoma"/>
            <family val="2"/>
          </rPr>
          <t>OU</t>
        </r>
        <r>
          <rPr>
            <sz val="9"/>
            <color indexed="81"/>
            <rFont val="Tahoma"/>
            <family val="2"/>
          </rPr>
          <t xml:space="preserve">
4º - Se</t>
        </r>
        <r>
          <rPr>
            <b/>
            <sz val="9"/>
            <color indexed="81"/>
            <rFont val="Tahoma"/>
            <family val="2"/>
          </rPr>
          <t xml:space="preserve"> ainda</t>
        </r>
        <r>
          <rPr>
            <sz val="9"/>
            <color indexed="81"/>
            <rFont val="Tahoma"/>
            <family val="2"/>
          </rPr>
          <t xml:space="preserve"> assim houver</t>
        </r>
        <r>
          <rPr>
            <b/>
            <sz val="9"/>
            <color indexed="81"/>
            <rFont val="Tahoma"/>
            <family val="2"/>
          </rPr>
          <t xml:space="preserve"> três ou mais</t>
        </r>
        <r>
          <rPr>
            <sz val="9"/>
            <color indexed="81"/>
            <rFont val="Tahoma"/>
            <family val="2"/>
          </rPr>
          <t xml:space="preserve"> jogadores/pares empatados então a classificação será́ estabelecida pela </t>
        </r>
        <r>
          <rPr>
            <b/>
            <sz val="9"/>
            <color indexed="81"/>
            <rFont val="Tahoma"/>
            <family val="2"/>
          </rPr>
          <t>diferença entre o total de pontos ganhos e perdidos</t>
        </r>
        <r>
          <rPr>
            <sz val="9"/>
            <color indexed="81"/>
            <rFont val="Tahoma"/>
            <family val="2"/>
          </rPr>
          <t xml:space="preserve">, com a melhor diferença a pertencer à melhor classificação.
5º -  Se </t>
        </r>
        <r>
          <rPr>
            <b/>
            <sz val="9"/>
            <color indexed="81"/>
            <rFont val="Tahoma"/>
            <family val="2"/>
          </rPr>
          <t>ainda</t>
        </r>
        <r>
          <rPr>
            <sz val="9"/>
            <color indexed="81"/>
            <rFont val="Tahoma"/>
            <family val="2"/>
          </rPr>
          <t xml:space="preserve"> assim houver</t>
        </r>
        <r>
          <rPr>
            <b/>
            <sz val="9"/>
            <color indexed="81"/>
            <rFont val="Tahoma"/>
            <family val="2"/>
          </rPr>
          <t xml:space="preserve"> dois</t>
        </r>
        <r>
          <rPr>
            <sz val="9"/>
            <color indexed="81"/>
            <rFont val="Tahoma"/>
            <family val="2"/>
          </rPr>
          <t xml:space="preserve"> jogadores/pares empatados o</t>
        </r>
        <r>
          <rPr>
            <b/>
            <sz val="9"/>
            <color indexed="81"/>
            <rFont val="Tahoma"/>
            <family val="2"/>
          </rPr>
          <t xml:space="preserve"> vencedor do jogo entre eles</t>
        </r>
        <r>
          <rPr>
            <sz val="9"/>
            <color indexed="81"/>
            <rFont val="Tahoma"/>
            <family val="2"/>
          </rPr>
          <t xml:space="preserve"> será́ o melhor classificado.
6º - Finalmente, se</t>
        </r>
        <r>
          <rPr>
            <b/>
            <sz val="9"/>
            <color indexed="81"/>
            <rFont val="Tahoma"/>
            <family val="2"/>
          </rPr>
          <t xml:space="preserve"> mesmo assim três ou mais</t>
        </r>
        <r>
          <rPr>
            <sz val="9"/>
            <color indexed="81"/>
            <rFont val="Tahoma"/>
            <family val="2"/>
          </rPr>
          <t xml:space="preserve"> jogadores/pares ainda ficarem empatados a classificação será́ estabelecida por</t>
        </r>
        <r>
          <rPr>
            <b/>
            <sz val="9"/>
            <color indexed="81"/>
            <rFont val="Tahoma"/>
            <family val="2"/>
          </rPr>
          <t xml:space="preserve"> sorteio</t>
        </r>
        <r>
          <rPr>
            <sz val="9"/>
            <color indexed="81"/>
            <rFont val="Tahoma"/>
            <family val="2"/>
          </rPr>
          <t>.</t>
        </r>
      </text>
    </comment>
  </commentList>
</comments>
</file>

<file path=xl/comments3.xml><?xml version="1.0" encoding="utf-8"?>
<comments xmlns="http://schemas.openxmlformats.org/spreadsheetml/2006/main">
  <authors>
    <author>Alvaro Pinto</author>
  </authors>
  <commentList>
    <comment ref="AS9" authorId="0">
      <text>
        <r>
          <rPr>
            <b/>
            <sz val="9"/>
            <color indexed="81"/>
            <rFont val="Tahoma"/>
            <family val="2"/>
          </rPr>
          <t>ATENÇÃO:</t>
        </r>
        <r>
          <rPr>
            <sz val="9"/>
            <color indexed="81"/>
            <rFont val="Tahoma"/>
            <family val="2"/>
          </rPr>
          <t xml:space="preserve"> Se um jogador/par for impedido de completar as partidas do grupo, por doença, lesão, desqualificação ou outra situação inevitável então todos os resultados que o jogador/par obtiver são eliminados.
</t>
        </r>
        <r>
          <rPr>
            <b/>
            <sz val="9"/>
            <color indexed="81"/>
            <rFont val="Tahoma"/>
            <family val="2"/>
          </rPr>
          <t>Critérios sequenciais:</t>
        </r>
        <r>
          <rPr>
            <sz val="9"/>
            <color indexed="81"/>
            <rFont val="Tahoma"/>
            <family val="2"/>
          </rPr>
          <t xml:space="preserve">
1º - Se </t>
        </r>
        <r>
          <rPr>
            <b/>
            <sz val="9"/>
            <color indexed="81"/>
            <rFont val="Tahoma"/>
            <family val="2"/>
          </rPr>
          <t>dois</t>
        </r>
        <r>
          <rPr>
            <sz val="9"/>
            <color indexed="81"/>
            <rFont val="Tahoma"/>
            <family val="2"/>
          </rPr>
          <t xml:space="preserve"> jogadores/pares tiverem o</t>
        </r>
        <r>
          <rPr>
            <b/>
            <sz val="9"/>
            <color indexed="81"/>
            <rFont val="Tahoma"/>
            <family val="2"/>
          </rPr>
          <t xml:space="preserve"> mesmo número de jogos ganhos</t>
        </r>
        <r>
          <rPr>
            <sz val="9"/>
            <color indexed="81"/>
            <rFont val="Tahoma"/>
            <family val="2"/>
          </rPr>
          <t xml:space="preserve"> então o </t>
        </r>
        <r>
          <rPr>
            <b/>
            <sz val="9"/>
            <color indexed="81"/>
            <rFont val="Tahoma"/>
            <family val="2"/>
          </rPr>
          <t>vencedor do jogo entre eles</t>
        </r>
        <r>
          <rPr>
            <sz val="9"/>
            <color indexed="81"/>
            <rFont val="Tahoma"/>
            <family val="2"/>
          </rPr>
          <t xml:space="preserve"> será́ o melhor classificado.
2º - Se</t>
        </r>
        <r>
          <rPr>
            <b/>
            <sz val="9"/>
            <color indexed="81"/>
            <rFont val="Tahoma"/>
            <family val="2"/>
          </rPr>
          <t xml:space="preserve"> três ou mais</t>
        </r>
        <r>
          <rPr>
            <sz val="9"/>
            <color indexed="81"/>
            <rFont val="Tahoma"/>
            <family val="2"/>
          </rPr>
          <t xml:space="preserve"> jogadores/pares </t>
        </r>
        <r>
          <rPr>
            <b/>
            <sz val="9"/>
            <color indexed="81"/>
            <rFont val="Tahoma"/>
            <family val="2"/>
          </rPr>
          <t>ganharam o mesmo número de jogos</t>
        </r>
        <r>
          <rPr>
            <sz val="9"/>
            <color indexed="81"/>
            <rFont val="Tahoma"/>
            <family val="2"/>
          </rPr>
          <t xml:space="preserve"> então a classificação será́ estabelecida pela </t>
        </r>
        <r>
          <rPr>
            <b/>
            <sz val="9"/>
            <color indexed="81"/>
            <rFont val="Tahoma"/>
            <family val="2"/>
          </rPr>
          <t>diferença entre o total de sets ganhos e perdido</t>
        </r>
        <r>
          <rPr>
            <sz val="9"/>
            <color indexed="81"/>
            <rFont val="Tahoma"/>
            <family val="2"/>
          </rPr>
          <t xml:space="preserve">s com a melhor diferença a ficar melhor classificado.
3º - Se </t>
        </r>
        <r>
          <rPr>
            <b/>
            <sz val="9"/>
            <color indexed="81"/>
            <rFont val="Tahoma"/>
            <family val="2"/>
          </rPr>
          <t>ainda</t>
        </r>
        <r>
          <rPr>
            <sz val="9"/>
            <color indexed="81"/>
            <rFont val="Tahoma"/>
            <family val="2"/>
          </rPr>
          <t xml:space="preserve"> assim houver </t>
        </r>
        <r>
          <rPr>
            <b/>
            <sz val="9"/>
            <color indexed="81"/>
            <rFont val="Tahoma"/>
            <family val="2"/>
          </rPr>
          <t>dois</t>
        </r>
        <r>
          <rPr>
            <sz val="9"/>
            <color indexed="81"/>
            <rFont val="Tahoma"/>
            <family val="2"/>
          </rPr>
          <t xml:space="preserve"> jogadores/pares empatados o </t>
        </r>
        <r>
          <rPr>
            <b/>
            <sz val="9"/>
            <color indexed="81"/>
            <rFont val="Tahoma"/>
            <family val="2"/>
          </rPr>
          <t>vencedor do jogo entre eles</t>
        </r>
        <r>
          <rPr>
            <sz val="9"/>
            <color indexed="81"/>
            <rFont val="Tahoma"/>
            <family val="2"/>
          </rPr>
          <t xml:space="preserve"> será́ o melhor classificado.
</t>
        </r>
        <r>
          <rPr>
            <b/>
            <sz val="9"/>
            <color indexed="81"/>
            <rFont val="Tahoma"/>
            <family val="2"/>
          </rPr>
          <t>OU</t>
        </r>
        <r>
          <rPr>
            <sz val="9"/>
            <color indexed="81"/>
            <rFont val="Tahoma"/>
            <family val="2"/>
          </rPr>
          <t xml:space="preserve">
4º - Se</t>
        </r>
        <r>
          <rPr>
            <b/>
            <sz val="9"/>
            <color indexed="81"/>
            <rFont val="Tahoma"/>
            <family val="2"/>
          </rPr>
          <t xml:space="preserve"> ainda</t>
        </r>
        <r>
          <rPr>
            <sz val="9"/>
            <color indexed="81"/>
            <rFont val="Tahoma"/>
            <family val="2"/>
          </rPr>
          <t xml:space="preserve"> assim houver</t>
        </r>
        <r>
          <rPr>
            <b/>
            <sz val="9"/>
            <color indexed="81"/>
            <rFont val="Tahoma"/>
            <family val="2"/>
          </rPr>
          <t xml:space="preserve"> três ou mais</t>
        </r>
        <r>
          <rPr>
            <sz val="9"/>
            <color indexed="81"/>
            <rFont val="Tahoma"/>
            <family val="2"/>
          </rPr>
          <t xml:space="preserve"> jogadores/pares empatados então a classificação será́ estabelecida pela </t>
        </r>
        <r>
          <rPr>
            <b/>
            <sz val="9"/>
            <color indexed="81"/>
            <rFont val="Tahoma"/>
            <family val="2"/>
          </rPr>
          <t>diferença entre o total de pontos ganhos e perdidos</t>
        </r>
        <r>
          <rPr>
            <sz val="9"/>
            <color indexed="81"/>
            <rFont val="Tahoma"/>
            <family val="2"/>
          </rPr>
          <t xml:space="preserve">, com a melhor diferença a pertencer à melhor classificação.
5º -  Se </t>
        </r>
        <r>
          <rPr>
            <b/>
            <sz val="9"/>
            <color indexed="81"/>
            <rFont val="Tahoma"/>
            <family val="2"/>
          </rPr>
          <t>ainda</t>
        </r>
        <r>
          <rPr>
            <sz val="9"/>
            <color indexed="81"/>
            <rFont val="Tahoma"/>
            <family val="2"/>
          </rPr>
          <t xml:space="preserve"> assim houver</t>
        </r>
        <r>
          <rPr>
            <b/>
            <sz val="9"/>
            <color indexed="81"/>
            <rFont val="Tahoma"/>
            <family val="2"/>
          </rPr>
          <t xml:space="preserve"> dois</t>
        </r>
        <r>
          <rPr>
            <sz val="9"/>
            <color indexed="81"/>
            <rFont val="Tahoma"/>
            <family val="2"/>
          </rPr>
          <t xml:space="preserve"> jogadores/pares empatados o</t>
        </r>
        <r>
          <rPr>
            <b/>
            <sz val="9"/>
            <color indexed="81"/>
            <rFont val="Tahoma"/>
            <family val="2"/>
          </rPr>
          <t xml:space="preserve"> vencedor do jogo entre eles</t>
        </r>
        <r>
          <rPr>
            <sz val="9"/>
            <color indexed="81"/>
            <rFont val="Tahoma"/>
            <family val="2"/>
          </rPr>
          <t xml:space="preserve"> será́ o melhor classificado.
6º - Finalmente, se</t>
        </r>
        <r>
          <rPr>
            <b/>
            <sz val="9"/>
            <color indexed="81"/>
            <rFont val="Tahoma"/>
            <family val="2"/>
          </rPr>
          <t xml:space="preserve"> mesmo assim três ou mais</t>
        </r>
        <r>
          <rPr>
            <sz val="9"/>
            <color indexed="81"/>
            <rFont val="Tahoma"/>
            <family val="2"/>
          </rPr>
          <t xml:space="preserve"> jogadores/pares ainda ficarem empatados a classificação será́ estabelecida por</t>
        </r>
        <r>
          <rPr>
            <b/>
            <sz val="9"/>
            <color indexed="81"/>
            <rFont val="Tahoma"/>
            <family val="2"/>
          </rPr>
          <t xml:space="preserve"> sorteio</t>
        </r>
        <r>
          <rPr>
            <sz val="9"/>
            <color indexed="81"/>
            <rFont val="Tahoma"/>
            <family val="2"/>
          </rPr>
          <t>.</t>
        </r>
      </text>
    </comment>
  </commentList>
</comments>
</file>

<file path=xl/comments4.xml><?xml version="1.0" encoding="utf-8"?>
<comments xmlns="http://schemas.openxmlformats.org/spreadsheetml/2006/main">
  <authors>
    <author>Alvaro Pinto</author>
  </authors>
  <commentList>
    <comment ref="AS9" authorId="0">
      <text>
        <r>
          <rPr>
            <b/>
            <sz val="9"/>
            <color indexed="81"/>
            <rFont val="Tahoma"/>
            <family val="2"/>
          </rPr>
          <t>ATENÇÃO:</t>
        </r>
        <r>
          <rPr>
            <sz val="9"/>
            <color indexed="81"/>
            <rFont val="Tahoma"/>
            <family val="2"/>
          </rPr>
          <t xml:space="preserve"> Se um jogador/par for impedido de completar as partidas do grupo, por doença, lesão, desqualificação ou outra situação inevitável então todos os resultados que o jogador/par obtiver são eliminados.
</t>
        </r>
        <r>
          <rPr>
            <b/>
            <sz val="9"/>
            <color indexed="81"/>
            <rFont val="Tahoma"/>
            <family val="2"/>
          </rPr>
          <t>Critérios sequenciais:</t>
        </r>
        <r>
          <rPr>
            <sz val="9"/>
            <color indexed="81"/>
            <rFont val="Tahoma"/>
            <family val="2"/>
          </rPr>
          <t xml:space="preserve">
1º - Se </t>
        </r>
        <r>
          <rPr>
            <b/>
            <sz val="9"/>
            <color indexed="81"/>
            <rFont val="Tahoma"/>
            <family val="2"/>
          </rPr>
          <t>dois</t>
        </r>
        <r>
          <rPr>
            <sz val="9"/>
            <color indexed="81"/>
            <rFont val="Tahoma"/>
            <family val="2"/>
          </rPr>
          <t xml:space="preserve"> jogadores/pares tiverem o</t>
        </r>
        <r>
          <rPr>
            <b/>
            <sz val="9"/>
            <color indexed="81"/>
            <rFont val="Tahoma"/>
            <family val="2"/>
          </rPr>
          <t xml:space="preserve"> mesmo número de jogos ganhos</t>
        </r>
        <r>
          <rPr>
            <sz val="9"/>
            <color indexed="81"/>
            <rFont val="Tahoma"/>
            <family val="2"/>
          </rPr>
          <t xml:space="preserve"> então o </t>
        </r>
        <r>
          <rPr>
            <b/>
            <sz val="9"/>
            <color indexed="81"/>
            <rFont val="Tahoma"/>
            <family val="2"/>
          </rPr>
          <t>vencedor do jogo entre eles</t>
        </r>
        <r>
          <rPr>
            <sz val="9"/>
            <color indexed="81"/>
            <rFont val="Tahoma"/>
            <family val="2"/>
          </rPr>
          <t xml:space="preserve"> será́ o melhor classificado.
2º - Se</t>
        </r>
        <r>
          <rPr>
            <b/>
            <sz val="9"/>
            <color indexed="81"/>
            <rFont val="Tahoma"/>
            <family val="2"/>
          </rPr>
          <t xml:space="preserve"> três ou mais</t>
        </r>
        <r>
          <rPr>
            <sz val="9"/>
            <color indexed="81"/>
            <rFont val="Tahoma"/>
            <family val="2"/>
          </rPr>
          <t xml:space="preserve"> jogadores/pares </t>
        </r>
        <r>
          <rPr>
            <b/>
            <sz val="9"/>
            <color indexed="81"/>
            <rFont val="Tahoma"/>
            <family val="2"/>
          </rPr>
          <t>ganharam o mesmo número de jogos</t>
        </r>
        <r>
          <rPr>
            <sz val="9"/>
            <color indexed="81"/>
            <rFont val="Tahoma"/>
            <family val="2"/>
          </rPr>
          <t xml:space="preserve"> então a classificação será́ estabelecida pela </t>
        </r>
        <r>
          <rPr>
            <b/>
            <sz val="9"/>
            <color indexed="81"/>
            <rFont val="Tahoma"/>
            <family val="2"/>
          </rPr>
          <t>diferença entre o total de sets ganhos e perdido</t>
        </r>
        <r>
          <rPr>
            <sz val="9"/>
            <color indexed="81"/>
            <rFont val="Tahoma"/>
            <family val="2"/>
          </rPr>
          <t xml:space="preserve">s com a melhor diferença a ficar melhor classificado.
3º - Se </t>
        </r>
        <r>
          <rPr>
            <b/>
            <sz val="9"/>
            <color indexed="81"/>
            <rFont val="Tahoma"/>
            <family val="2"/>
          </rPr>
          <t>ainda</t>
        </r>
        <r>
          <rPr>
            <sz val="9"/>
            <color indexed="81"/>
            <rFont val="Tahoma"/>
            <family val="2"/>
          </rPr>
          <t xml:space="preserve"> assim houver </t>
        </r>
        <r>
          <rPr>
            <b/>
            <sz val="9"/>
            <color indexed="81"/>
            <rFont val="Tahoma"/>
            <family val="2"/>
          </rPr>
          <t>dois</t>
        </r>
        <r>
          <rPr>
            <sz val="9"/>
            <color indexed="81"/>
            <rFont val="Tahoma"/>
            <family val="2"/>
          </rPr>
          <t xml:space="preserve"> jogadores/pares empatados o </t>
        </r>
        <r>
          <rPr>
            <b/>
            <sz val="9"/>
            <color indexed="81"/>
            <rFont val="Tahoma"/>
            <family val="2"/>
          </rPr>
          <t>vencedor do jogo entre eles</t>
        </r>
        <r>
          <rPr>
            <sz val="9"/>
            <color indexed="81"/>
            <rFont val="Tahoma"/>
            <family val="2"/>
          </rPr>
          <t xml:space="preserve"> será́ o melhor classificado.
</t>
        </r>
        <r>
          <rPr>
            <b/>
            <sz val="9"/>
            <color indexed="81"/>
            <rFont val="Tahoma"/>
            <family val="2"/>
          </rPr>
          <t>OU</t>
        </r>
        <r>
          <rPr>
            <sz val="9"/>
            <color indexed="81"/>
            <rFont val="Tahoma"/>
            <family val="2"/>
          </rPr>
          <t xml:space="preserve">
4º - Se</t>
        </r>
        <r>
          <rPr>
            <b/>
            <sz val="9"/>
            <color indexed="81"/>
            <rFont val="Tahoma"/>
            <family val="2"/>
          </rPr>
          <t xml:space="preserve"> ainda</t>
        </r>
        <r>
          <rPr>
            <sz val="9"/>
            <color indexed="81"/>
            <rFont val="Tahoma"/>
            <family val="2"/>
          </rPr>
          <t xml:space="preserve"> assim houver</t>
        </r>
        <r>
          <rPr>
            <b/>
            <sz val="9"/>
            <color indexed="81"/>
            <rFont val="Tahoma"/>
            <family val="2"/>
          </rPr>
          <t xml:space="preserve"> três ou mais</t>
        </r>
        <r>
          <rPr>
            <sz val="9"/>
            <color indexed="81"/>
            <rFont val="Tahoma"/>
            <family val="2"/>
          </rPr>
          <t xml:space="preserve"> jogadores/pares empatados então a classificação será́ estabelecida pela </t>
        </r>
        <r>
          <rPr>
            <b/>
            <sz val="9"/>
            <color indexed="81"/>
            <rFont val="Tahoma"/>
            <family val="2"/>
          </rPr>
          <t>diferença entre o total de pontos ganhos e perdidos</t>
        </r>
        <r>
          <rPr>
            <sz val="9"/>
            <color indexed="81"/>
            <rFont val="Tahoma"/>
            <family val="2"/>
          </rPr>
          <t xml:space="preserve">, com a melhor diferença a pertencer à melhor classificação.
5º -  Se </t>
        </r>
        <r>
          <rPr>
            <b/>
            <sz val="9"/>
            <color indexed="81"/>
            <rFont val="Tahoma"/>
            <family val="2"/>
          </rPr>
          <t>ainda</t>
        </r>
        <r>
          <rPr>
            <sz val="9"/>
            <color indexed="81"/>
            <rFont val="Tahoma"/>
            <family val="2"/>
          </rPr>
          <t xml:space="preserve"> assim houver</t>
        </r>
        <r>
          <rPr>
            <b/>
            <sz val="9"/>
            <color indexed="81"/>
            <rFont val="Tahoma"/>
            <family val="2"/>
          </rPr>
          <t xml:space="preserve"> dois</t>
        </r>
        <r>
          <rPr>
            <sz val="9"/>
            <color indexed="81"/>
            <rFont val="Tahoma"/>
            <family val="2"/>
          </rPr>
          <t xml:space="preserve"> jogadores/pares empatados o</t>
        </r>
        <r>
          <rPr>
            <b/>
            <sz val="9"/>
            <color indexed="81"/>
            <rFont val="Tahoma"/>
            <family val="2"/>
          </rPr>
          <t xml:space="preserve"> vencedor do jogo entre eles</t>
        </r>
        <r>
          <rPr>
            <sz val="9"/>
            <color indexed="81"/>
            <rFont val="Tahoma"/>
            <family val="2"/>
          </rPr>
          <t xml:space="preserve"> será́ o melhor classificado.
6º - Finalmente, se</t>
        </r>
        <r>
          <rPr>
            <b/>
            <sz val="9"/>
            <color indexed="81"/>
            <rFont val="Tahoma"/>
            <family val="2"/>
          </rPr>
          <t xml:space="preserve"> mesmo assim três ou mais</t>
        </r>
        <r>
          <rPr>
            <sz val="9"/>
            <color indexed="81"/>
            <rFont val="Tahoma"/>
            <family val="2"/>
          </rPr>
          <t xml:space="preserve"> jogadores/pares ainda ficarem empatados a classificação será́ estabelecida por</t>
        </r>
        <r>
          <rPr>
            <b/>
            <sz val="9"/>
            <color indexed="81"/>
            <rFont val="Tahoma"/>
            <family val="2"/>
          </rPr>
          <t xml:space="preserve"> sorteio</t>
        </r>
        <r>
          <rPr>
            <sz val="9"/>
            <color indexed="81"/>
            <rFont val="Tahoma"/>
            <family val="2"/>
          </rPr>
          <t>.</t>
        </r>
      </text>
    </comment>
  </commentList>
</comments>
</file>

<file path=xl/comments5.xml><?xml version="1.0" encoding="utf-8"?>
<comments xmlns="http://schemas.openxmlformats.org/spreadsheetml/2006/main">
  <authors>
    <author>Alvaro Pinto</author>
  </authors>
  <commentList>
    <comment ref="AS9" authorId="0">
      <text>
        <r>
          <rPr>
            <b/>
            <sz val="9"/>
            <color indexed="81"/>
            <rFont val="Tahoma"/>
            <family val="2"/>
          </rPr>
          <t>ATENÇÃO:</t>
        </r>
        <r>
          <rPr>
            <sz val="9"/>
            <color indexed="81"/>
            <rFont val="Tahoma"/>
            <family val="2"/>
          </rPr>
          <t xml:space="preserve"> Se um jogador/par for impedido de completar as partidas do grupo, por doença, lesão, desqualificação ou outra situação inevitável então todos os resultados que o jogador/par obtiver são eliminados.
</t>
        </r>
        <r>
          <rPr>
            <b/>
            <sz val="9"/>
            <color indexed="81"/>
            <rFont val="Tahoma"/>
            <family val="2"/>
          </rPr>
          <t>Critérios sequenciais:</t>
        </r>
        <r>
          <rPr>
            <sz val="9"/>
            <color indexed="81"/>
            <rFont val="Tahoma"/>
            <family val="2"/>
          </rPr>
          <t xml:space="preserve">
1º - Se </t>
        </r>
        <r>
          <rPr>
            <b/>
            <sz val="9"/>
            <color indexed="81"/>
            <rFont val="Tahoma"/>
            <family val="2"/>
          </rPr>
          <t>dois</t>
        </r>
        <r>
          <rPr>
            <sz val="9"/>
            <color indexed="81"/>
            <rFont val="Tahoma"/>
            <family val="2"/>
          </rPr>
          <t xml:space="preserve"> jogadores/pares tiverem o</t>
        </r>
        <r>
          <rPr>
            <b/>
            <sz val="9"/>
            <color indexed="81"/>
            <rFont val="Tahoma"/>
            <family val="2"/>
          </rPr>
          <t xml:space="preserve"> mesmo número de jogos ganhos</t>
        </r>
        <r>
          <rPr>
            <sz val="9"/>
            <color indexed="81"/>
            <rFont val="Tahoma"/>
            <family val="2"/>
          </rPr>
          <t xml:space="preserve"> então o </t>
        </r>
        <r>
          <rPr>
            <b/>
            <sz val="9"/>
            <color indexed="81"/>
            <rFont val="Tahoma"/>
            <family val="2"/>
          </rPr>
          <t>vencedor do jogo entre eles</t>
        </r>
        <r>
          <rPr>
            <sz val="9"/>
            <color indexed="81"/>
            <rFont val="Tahoma"/>
            <family val="2"/>
          </rPr>
          <t xml:space="preserve"> será́ o melhor classificado.
2º - Se</t>
        </r>
        <r>
          <rPr>
            <b/>
            <sz val="9"/>
            <color indexed="81"/>
            <rFont val="Tahoma"/>
            <family val="2"/>
          </rPr>
          <t xml:space="preserve"> três ou mais</t>
        </r>
        <r>
          <rPr>
            <sz val="9"/>
            <color indexed="81"/>
            <rFont val="Tahoma"/>
            <family val="2"/>
          </rPr>
          <t xml:space="preserve"> jogadores/pares </t>
        </r>
        <r>
          <rPr>
            <b/>
            <sz val="9"/>
            <color indexed="81"/>
            <rFont val="Tahoma"/>
            <family val="2"/>
          </rPr>
          <t>ganharam o mesmo número de jogos</t>
        </r>
        <r>
          <rPr>
            <sz val="9"/>
            <color indexed="81"/>
            <rFont val="Tahoma"/>
            <family val="2"/>
          </rPr>
          <t xml:space="preserve"> então a classificação será́ estabelecida pela </t>
        </r>
        <r>
          <rPr>
            <b/>
            <sz val="9"/>
            <color indexed="81"/>
            <rFont val="Tahoma"/>
            <family val="2"/>
          </rPr>
          <t>diferença entre o total de sets ganhos e perdido</t>
        </r>
        <r>
          <rPr>
            <sz val="9"/>
            <color indexed="81"/>
            <rFont val="Tahoma"/>
            <family val="2"/>
          </rPr>
          <t xml:space="preserve">s com a melhor diferença a ficar melhor classificado.
3º - Se </t>
        </r>
        <r>
          <rPr>
            <b/>
            <sz val="9"/>
            <color indexed="81"/>
            <rFont val="Tahoma"/>
            <family val="2"/>
          </rPr>
          <t>ainda</t>
        </r>
        <r>
          <rPr>
            <sz val="9"/>
            <color indexed="81"/>
            <rFont val="Tahoma"/>
            <family val="2"/>
          </rPr>
          <t xml:space="preserve"> assim houver </t>
        </r>
        <r>
          <rPr>
            <b/>
            <sz val="9"/>
            <color indexed="81"/>
            <rFont val="Tahoma"/>
            <family val="2"/>
          </rPr>
          <t>dois</t>
        </r>
        <r>
          <rPr>
            <sz val="9"/>
            <color indexed="81"/>
            <rFont val="Tahoma"/>
            <family val="2"/>
          </rPr>
          <t xml:space="preserve"> jogadores/pares empatados o </t>
        </r>
        <r>
          <rPr>
            <b/>
            <sz val="9"/>
            <color indexed="81"/>
            <rFont val="Tahoma"/>
            <family val="2"/>
          </rPr>
          <t>vencedor do jogo entre eles</t>
        </r>
        <r>
          <rPr>
            <sz val="9"/>
            <color indexed="81"/>
            <rFont val="Tahoma"/>
            <family val="2"/>
          </rPr>
          <t xml:space="preserve"> será́ o melhor classificado.
</t>
        </r>
        <r>
          <rPr>
            <b/>
            <sz val="9"/>
            <color indexed="81"/>
            <rFont val="Tahoma"/>
            <family val="2"/>
          </rPr>
          <t>OU</t>
        </r>
        <r>
          <rPr>
            <sz val="9"/>
            <color indexed="81"/>
            <rFont val="Tahoma"/>
            <family val="2"/>
          </rPr>
          <t xml:space="preserve">
4º - Se</t>
        </r>
        <r>
          <rPr>
            <b/>
            <sz val="9"/>
            <color indexed="81"/>
            <rFont val="Tahoma"/>
            <family val="2"/>
          </rPr>
          <t xml:space="preserve"> ainda</t>
        </r>
        <r>
          <rPr>
            <sz val="9"/>
            <color indexed="81"/>
            <rFont val="Tahoma"/>
            <family val="2"/>
          </rPr>
          <t xml:space="preserve"> assim houver</t>
        </r>
        <r>
          <rPr>
            <b/>
            <sz val="9"/>
            <color indexed="81"/>
            <rFont val="Tahoma"/>
            <family val="2"/>
          </rPr>
          <t xml:space="preserve"> três ou mais</t>
        </r>
        <r>
          <rPr>
            <sz val="9"/>
            <color indexed="81"/>
            <rFont val="Tahoma"/>
            <family val="2"/>
          </rPr>
          <t xml:space="preserve"> jogadores/pares empatados então a classificação será́ estabelecida pela </t>
        </r>
        <r>
          <rPr>
            <b/>
            <sz val="9"/>
            <color indexed="81"/>
            <rFont val="Tahoma"/>
            <family val="2"/>
          </rPr>
          <t>diferença entre o total de pontos ganhos e perdidos</t>
        </r>
        <r>
          <rPr>
            <sz val="9"/>
            <color indexed="81"/>
            <rFont val="Tahoma"/>
            <family val="2"/>
          </rPr>
          <t xml:space="preserve">, com a melhor diferença a pertencer à melhor classificação.
5º -  Se </t>
        </r>
        <r>
          <rPr>
            <b/>
            <sz val="9"/>
            <color indexed="81"/>
            <rFont val="Tahoma"/>
            <family val="2"/>
          </rPr>
          <t>ainda</t>
        </r>
        <r>
          <rPr>
            <sz val="9"/>
            <color indexed="81"/>
            <rFont val="Tahoma"/>
            <family val="2"/>
          </rPr>
          <t xml:space="preserve"> assim houver</t>
        </r>
        <r>
          <rPr>
            <b/>
            <sz val="9"/>
            <color indexed="81"/>
            <rFont val="Tahoma"/>
            <family val="2"/>
          </rPr>
          <t xml:space="preserve"> dois</t>
        </r>
        <r>
          <rPr>
            <sz val="9"/>
            <color indexed="81"/>
            <rFont val="Tahoma"/>
            <family val="2"/>
          </rPr>
          <t xml:space="preserve"> jogadores/pares empatados o</t>
        </r>
        <r>
          <rPr>
            <b/>
            <sz val="9"/>
            <color indexed="81"/>
            <rFont val="Tahoma"/>
            <family val="2"/>
          </rPr>
          <t xml:space="preserve"> vencedor do jogo entre eles</t>
        </r>
        <r>
          <rPr>
            <sz val="9"/>
            <color indexed="81"/>
            <rFont val="Tahoma"/>
            <family val="2"/>
          </rPr>
          <t xml:space="preserve"> será́ o melhor classificado.
6º - Finalmente, se</t>
        </r>
        <r>
          <rPr>
            <b/>
            <sz val="9"/>
            <color indexed="81"/>
            <rFont val="Tahoma"/>
            <family val="2"/>
          </rPr>
          <t xml:space="preserve"> mesmo assim três ou mais</t>
        </r>
        <r>
          <rPr>
            <sz val="9"/>
            <color indexed="81"/>
            <rFont val="Tahoma"/>
            <family val="2"/>
          </rPr>
          <t xml:space="preserve"> jogadores/pares ainda ficarem empatados a classificação será́ estabelecida por</t>
        </r>
        <r>
          <rPr>
            <b/>
            <sz val="9"/>
            <color indexed="81"/>
            <rFont val="Tahoma"/>
            <family val="2"/>
          </rPr>
          <t xml:space="preserve"> sorteio</t>
        </r>
        <r>
          <rPr>
            <sz val="9"/>
            <color indexed="81"/>
            <rFont val="Tahoma"/>
            <family val="2"/>
          </rPr>
          <t>.</t>
        </r>
      </text>
    </comment>
  </commentList>
</comments>
</file>

<file path=xl/sharedStrings.xml><?xml version="1.0" encoding="utf-8"?>
<sst xmlns="http://schemas.openxmlformats.org/spreadsheetml/2006/main" count="1205" uniqueCount="433">
  <si>
    <t>Classificação</t>
  </si>
  <si>
    <t>1º</t>
  </si>
  <si>
    <t>2º</t>
  </si>
  <si>
    <t>3º</t>
  </si>
  <si>
    <t>4º</t>
  </si>
  <si>
    <t>Vencedor</t>
  </si>
  <si>
    <t>V</t>
  </si>
  <si>
    <t>Grupo A</t>
  </si>
  <si>
    <t>Grupo B</t>
  </si>
  <si>
    <t>Grupo C</t>
  </si>
  <si>
    <t>Grupo D</t>
  </si>
  <si>
    <t>Atletas</t>
  </si>
  <si>
    <t>1º-</t>
  </si>
  <si>
    <t>2º-</t>
  </si>
  <si>
    <t>3º-</t>
  </si>
  <si>
    <t>4º-</t>
  </si>
  <si>
    <t>-</t>
  </si>
  <si>
    <t xml:space="preserve"> </t>
  </si>
  <si>
    <t xml:space="preserve">  </t>
  </si>
  <si>
    <t xml:space="preserve">      </t>
  </si>
  <si>
    <t>1º Set</t>
  </si>
  <si>
    <t>2º Set</t>
  </si>
  <si>
    <t>3º Set</t>
  </si>
  <si>
    <t>Vencedor --&gt;</t>
  </si>
  <si>
    <t>Masculinos</t>
  </si>
  <si>
    <t>BOLETIM DO JOGO :</t>
  </si>
  <si>
    <t>Nº Jogo</t>
  </si>
  <si>
    <t>Escalão</t>
  </si>
  <si>
    <t>Sexo</t>
  </si>
  <si>
    <t>Prova</t>
  </si>
  <si>
    <t>Singulares</t>
  </si>
  <si>
    <t>―</t>
  </si>
  <si>
    <t>Jogador(es) 1</t>
  </si>
  <si>
    <t>Jogador(es) 2</t>
  </si>
  <si>
    <t>Nome  /   Escola</t>
  </si>
  <si>
    <t>Árbitro: ________________________       Vencido: ____________________________</t>
  </si>
  <si>
    <t>5º</t>
  </si>
  <si>
    <t>6º</t>
  </si>
  <si>
    <t>7º</t>
  </si>
  <si>
    <t>8º</t>
  </si>
  <si>
    <t>J</t>
  </si>
  <si>
    <t>BE</t>
  </si>
  <si>
    <t>Grupo</t>
  </si>
  <si>
    <t>1ª
Ronda</t>
  </si>
  <si>
    <t>2ª
Ronda</t>
  </si>
  <si>
    <t>3ª
Ronda</t>
  </si>
  <si>
    <t>Nºs dos jogos do par de boletins a emitir.</t>
  </si>
  <si>
    <t>Controlar a emissão de boletins teclando "e" de "emitido" na coluna BE.</t>
  </si>
  <si>
    <t>Disputa 5º / 6º / 7º / 8º lugares</t>
  </si>
  <si>
    <t>5º/6º/7º/8º</t>
  </si>
  <si>
    <t>Femininos</t>
  </si>
  <si>
    <r>
      <rPr>
        <b/>
        <sz val="11"/>
        <rFont val="Arial"/>
        <family val="2"/>
      </rPr>
      <t>CAMPO</t>
    </r>
    <r>
      <rPr>
        <b/>
        <sz val="12"/>
        <rFont val="Arial"/>
        <family val="2"/>
      </rPr>
      <t>:</t>
    </r>
  </si>
  <si>
    <t>Pares</t>
  </si>
  <si>
    <t>Iniciados</t>
  </si>
  <si>
    <t>Mistos</t>
  </si>
  <si>
    <t>Disputa 9º / 10º / 11º / 12º lugares</t>
  </si>
  <si>
    <t>9º</t>
  </si>
  <si>
    <t>10º</t>
  </si>
  <si>
    <t>11º</t>
  </si>
  <si>
    <t>12º</t>
  </si>
  <si>
    <t xml:space="preserve">- - - - - - - - - - - - - - - - - - - - - - - - - - - - - - - - - - - - - - - - - - - - - - - - - - - - - - - - - - - - - - - - - - - - - - - - - </t>
  </si>
  <si>
    <t>Singular Feminino</t>
  </si>
  <si>
    <t>Par Feminino</t>
  </si>
  <si>
    <t>Par Misto</t>
  </si>
  <si>
    <t>Campo 1</t>
  </si>
  <si>
    <t>Campo 2</t>
  </si>
  <si>
    <t>Campo 3</t>
  </si>
  <si>
    <t>Campo 4</t>
  </si>
  <si>
    <t>Campo 5</t>
  </si>
  <si>
    <t>Campo 6</t>
  </si>
  <si>
    <t>Campo 7</t>
  </si>
  <si>
    <t>21 - Manhã</t>
  </si>
  <si>
    <t>21- Tarde</t>
  </si>
  <si>
    <t>22 - Manhã</t>
  </si>
  <si>
    <t>23-Tarde</t>
  </si>
  <si>
    <t>SH1</t>
  </si>
  <si>
    <t>SH2</t>
  </si>
  <si>
    <t>SH3</t>
  </si>
  <si>
    <t>SH4</t>
  </si>
  <si>
    <t>SH5</t>
  </si>
  <si>
    <t>SH6</t>
  </si>
  <si>
    <t>SH7</t>
  </si>
  <si>
    <t>SH8</t>
  </si>
  <si>
    <t>SH9</t>
  </si>
  <si>
    <t>SH10</t>
  </si>
  <si>
    <t>SH11</t>
  </si>
  <si>
    <t>SH12</t>
  </si>
  <si>
    <t>SH</t>
  </si>
  <si>
    <t>SH13</t>
  </si>
  <si>
    <t>SH14</t>
  </si>
  <si>
    <t>SH15</t>
  </si>
  <si>
    <t>SH16</t>
  </si>
  <si>
    <t>SH17</t>
  </si>
  <si>
    <t>SH18</t>
  </si>
  <si>
    <t>SH19</t>
  </si>
  <si>
    <t>SH20</t>
  </si>
  <si>
    <t>SH22</t>
  </si>
  <si>
    <t>SH21</t>
  </si>
  <si>
    <t>SH23</t>
  </si>
  <si>
    <t>SH24</t>
  </si>
  <si>
    <t>SH25</t>
  </si>
  <si>
    <t>SH26</t>
  </si>
  <si>
    <t>SH27</t>
  </si>
  <si>
    <t>SH28</t>
  </si>
  <si>
    <t>SS1</t>
  </si>
  <si>
    <t>SS2</t>
  </si>
  <si>
    <t>SS3</t>
  </si>
  <si>
    <t>SS4</t>
  </si>
  <si>
    <t>SS</t>
  </si>
  <si>
    <t>PH</t>
  </si>
  <si>
    <t>PS</t>
  </si>
  <si>
    <t>PM</t>
  </si>
  <si>
    <t>SS5</t>
  </si>
  <si>
    <t>SS6</t>
  </si>
  <si>
    <t>SS7</t>
  </si>
  <si>
    <t>SS8</t>
  </si>
  <si>
    <t>SS9</t>
  </si>
  <si>
    <t>SS10</t>
  </si>
  <si>
    <t>SS11</t>
  </si>
  <si>
    <t>SS12</t>
  </si>
  <si>
    <t>SS13</t>
  </si>
  <si>
    <t>SS14</t>
  </si>
  <si>
    <t>SS15</t>
  </si>
  <si>
    <t>SS16</t>
  </si>
  <si>
    <t>SS17</t>
  </si>
  <si>
    <t>SS18</t>
  </si>
  <si>
    <t>SS19</t>
  </si>
  <si>
    <t>SS20</t>
  </si>
  <si>
    <t>SS21</t>
  </si>
  <si>
    <t>SS22</t>
  </si>
  <si>
    <t>SS23</t>
  </si>
  <si>
    <t>SS24</t>
  </si>
  <si>
    <t>SS25</t>
  </si>
  <si>
    <t>SS26</t>
  </si>
  <si>
    <t>SS27</t>
  </si>
  <si>
    <t>SS28</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</si>
  <si>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</si>
  <si>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</si>
  <si>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</si>
  <si>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</si>
  <si>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</si>
  <si>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</si>
  <si>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</si>
  <si>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</si>
  <si>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</si>
  <si>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</si>
  <si>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</si>
  <si>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</si>
  <si>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</si>
  <si>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</si>
  <si>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</si>
  <si>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</si>
  <si>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</si>
  <si>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</si>
  <si>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</si>
  <si>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</si>
  <si>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</si>
  <si>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</si>
  <si>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</si>
  <si>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</si>
  <si>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</si>
  <si>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</si>
  <si>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</si>
  <si>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</si>
  <si>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PS1</t>
  </si>
  <si>
    <t>PS2</t>
  </si>
  <si>
    <t>PS3</t>
  </si>
  <si>
    <t>PS4</t>
  </si>
  <si>
    <t>PS5</t>
  </si>
  <si>
    <t>PS6</t>
  </si>
  <si>
    <t>PS7</t>
  </si>
  <si>
    <t>PS8</t>
  </si>
  <si>
    <t>PS9</t>
  </si>
  <si>
    <t>PS10</t>
  </si>
  <si>
    <t>PS11</t>
  </si>
  <si>
    <t>PS12</t>
  </si>
  <si>
    <t>PS13</t>
  </si>
  <si>
    <t>PS14</t>
  </si>
  <si>
    <t>PS15</t>
  </si>
  <si>
    <t>PS16</t>
  </si>
  <si>
    <t>PS17</t>
  </si>
  <si>
    <t>PS18</t>
  </si>
  <si>
    <t>PS19</t>
  </si>
  <si>
    <t>PS20</t>
  </si>
  <si>
    <t>PS21</t>
  </si>
  <si>
    <t>PS22</t>
  </si>
  <si>
    <t>PS23</t>
  </si>
  <si>
    <t>PS24</t>
  </si>
  <si>
    <t>PS25</t>
  </si>
  <si>
    <t>PS26</t>
  </si>
  <si>
    <t>PS27</t>
  </si>
  <si>
    <t>PS28</t>
  </si>
  <si>
    <t>PM1</t>
  </si>
  <si>
    <t>PM2</t>
  </si>
  <si>
    <t>PM3</t>
  </si>
  <si>
    <t>PM4</t>
  </si>
  <si>
    <t>PM5</t>
  </si>
  <si>
    <t>PM6</t>
  </si>
  <si>
    <t>PM7</t>
  </si>
  <si>
    <t>PM8</t>
  </si>
  <si>
    <t>PM9</t>
  </si>
  <si>
    <t>PM10</t>
  </si>
  <si>
    <t>PM11</t>
  </si>
  <si>
    <t>PM12</t>
  </si>
  <si>
    <t>PM13</t>
  </si>
  <si>
    <t>PM14</t>
  </si>
  <si>
    <t>PM15</t>
  </si>
  <si>
    <t>PM16</t>
  </si>
  <si>
    <t>PM17</t>
  </si>
  <si>
    <t>PM18</t>
  </si>
  <si>
    <t>PM19</t>
  </si>
  <si>
    <t>PM20</t>
  </si>
  <si>
    <t>PM21</t>
  </si>
  <si>
    <t>PM22</t>
  </si>
  <si>
    <t>PM23</t>
  </si>
  <si>
    <t>PM24</t>
  </si>
  <si>
    <t>PM25</t>
  </si>
  <si>
    <t>PM26</t>
  </si>
  <si>
    <t>PM27</t>
  </si>
  <si>
    <t>PM28</t>
  </si>
  <si>
    <t>Calendário Geral</t>
  </si>
  <si>
    <t>Par Masculino</t>
  </si>
  <si>
    <t>Singular Masculino</t>
  </si>
  <si>
    <t>9º/10º/11º/12º</t>
  </si>
  <si>
    <t>Campo 8</t>
  </si>
  <si>
    <t>Campo 9</t>
  </si>
  <si>
    <t>A2</t>
  </si>
  <si>
    <t>A3</t>
  </si>
  <si>
    <t>B1</t>
  </si>
  <si>
    <t>B2</t>
  </si>
  <si>
    <t>B3</t>
  </si>
  <si>
    <t>B4</t>
  </si>
  <si>
    <t>C1</t>
  </si>
  <si>
    <t>C2</t>
  </si>
  <si>
    <t>C3</t>
  </si>
  <si>
    <t>C4</t>
  </si>
  <si>
    <t>D1</t>
  </si>
  <si>
    <t>D2</t>
  </si>
  <si>
    <t>D4</t>
  </si>
  <si>
    <t>D3</t>
  </si>
  <si>
    <t xml:space="preserve">  A utilização dos quadros é muito simples e funciona desde que não se "invente"muito!!</t>
  </si>
  <si>
    <t>Disputa 13º / 14º / 15º / 16º lugares</t>
  </si>
  <si>
    <t>13º</t>
  </si>
  <si>
    <t>14º</t>
  </si>
  <si>
    <t>15º</t>
  </si>
  <si>
    <t>16º</t>
  </si>
  <si>
    <t>13º/14º/15º/16º</t>
  </si>
  <si>
    <t>Boletim 1</t>
  </si>
  <si>
    <t>Boletim 2</t>
  </si>
  <si>
    <r>
      <rPr>
        <b/>
        <sz val="11"/>
        <color rgb="FFFF0000"/>
        <rFont val="Calibri"/>
        <family val="2"/>
        <scheme val="minor"/>
      </rPr>
      <t xml:space="preserve">6ª Regra -  </t>
    </r>
    <r>
      <rPr>
        <sz val="11"/>
        <rFont val="Calibri"/>
        <family val="2"/>
        <scheme val="minor"/>
      </rPr>
      <t>Se mesmo assim tiverem dificuldades contactem Álvaro ("alvpinto@gmail.com" ou  918877460) a qualquer dia/hora, no problem :)!</t>
    </r>
  </si>
  <si>
    <t>Usufruam, divirtam-se e fomentem o Badminton!!</t>
  </si>
  <si>
    <t>A4</t>
  </si>
  <si>
    <t>Campeonato Distrital Iniciados</t>
  </si>
  <si>
    <t>Sertã - 20,21  Agosto 2018</t>
  </si>
  <si>
    <t>Manuel Pinto (AE Sertã)</t>
  </si>
  <si>
    <t>Distribuição dos árbitros nos campos/jogos</t>
  </si>
  <si>
    <t>Norte</t>
  </si>
  <si>
    <t>Centro</t>
  </si>
  <si>
    <t>Lisboa</t>
  </si>
  <si>
    <t>Alentejo</t>
  </si>
  <si>
    <t>Algarve</t>
  </si>
  <si>
    <t>Campeonato Nacional Iniciados - Sines, 22-25 Junho 2016
Classificação Final - Badminton</t>
  </si>
  <si>
    <t>Vasco Murteira
(E Matias Aires - Lisboa)</t>
  </si>
  <si>
    <t>Calendário Geral - Nacional Iniciados - Sines, 22-25 Maio</t>
  </si>
  <si>
    <t>Observ.</t>
  </si>
  <si>
    <t>23 - Manhã</t>
  </si>
  <si>
    <t>J1 SH</t>
  </si>
  <si>
    <t>J2 SH</t>
  </si>
  <si>
    <t>J3 SH</t>
  </si>
  <si>
    <t>J4 SH</t>
  </si>
  <si>
    <t>J1 SS</t>
  </si>
  <si>
    <t>J2 SS</t>
  </si>
  <si>
    <t>J3 SS</t>
  </si>
  <si>
    <t>J4 SS</t>
  </si>
  <si>
    <t>Fase de Grupos</t>
  </si>
  <si>
    <t>J1 PH</t>
  </si>
  <si>
    <t>J2 PH</t>
  </si>
  <si>
    <t>J3 PH</t>
  </si>
  <si>
    <t>J4 PH</t>
  </si>
  <si>
    <t>J1 PS</t>
  </si>
  <si>
    <t>J2 PS</t>
  </si>
  <si>
    <t>J3 PS</t>
  </si>
  <si>
    <t>J4 PS</t>
  </si>
  <si>
    <t>J1 PM</t>
  </si>
  <si>
    <t>J2 PM</t>
  </si>
  <si>
    <t>J3 PM</t>
  </si>
  <si>
    <t>J4 PM</t>
  </si>
  <si>
    <t>J5 SH</t>
  </si>
  <si>
    <t>J6 SH</t>
  </si>
  <si>
    <t>J7 SH</t>
  </si>
  <si>
    <t>J8 SH</t>
  </si>
  <si>
    <t>J5 SS</t>
  </si>
  <si>
    <t>J6 SS</t>
  </si>
  <si>
    <t>J7 SS</t>
  </si>
  <si>
    <t>J8 SS</t>
  </si>
  <si>
    <t>J5 PH</t>
  </si>
  <si>
    <t>J6 PH</t>
  </si>
  <si>
    <t>J7 PH</t>
  </si>
  <si>
    <t>J8 PH</t>
  </si>
  <si>
    <t>J5 PS</t>
  </si>
  <si>
    <t>J6 PS</t>
  </si>
  <si>
    <t>J7 PS</t>
  </si>
  <si>
    <t>J8 PS</t>
  </si>
  <si>
    <t>J5 PM</t>
  </si>
  <si>
    <t>J6 PM</t>
  </si>
  <si>
    <t>J7 PM</t>
  </si>
  <si>
    <t>J8 PM</t>
  </si>
  <si>
    <t>J9 SH</t>
  </si>
  <si>
    <t>J10 SH</t>
  </si>
  <si>
    <t>J11 SH</t>
  </si>
  <si>
    <t>J12 SH</t>
  </si>
  <si>
    <t>J9 SS</t>
  </si>
  <si>
    <t>J10 SS</t>
  </si>
  <si>
    <t>J11 SS</t>
  </si>
  <si>
    <t>J12 SS</t>
  </si>
  <si>
    <t>Almoço</t>
  </si>
  <si>
    <t>23- Tarde</t>
  </si>
  <si>
    <t>J9 PH</t>
  </si>
  <si>
    <t>J10 PH</t>
  </si>
  <si>
    <t>J11 PH</t>
  </si>
  <si>
    <t>J12 PH</t>
  </si>
  <si>
    <t>J9 PS</t>
  </si>
  <si>
    <t>J10 PS</t>
  </si>
  <si>
    <t>J11 PS</t>
  </si>
  <si>
    <t>J12 PS</t>
  </si>
  <si>
    <t>J9 PM</t>
  </si>
  <si>
    <t>J10 PM</t>
  </si>
  <si>
    <t>J11 PM</t>
  </si>
  <si>
    <t>J12 PM</t>
  </si>
  <si>
    <t>J13 SH</t>
  </si>
  <si>
    <t>J14 SH</t>
  </si>
  <si>
    <t>J15 SH</t>
  </si>
  <si>
    <t>J16 SH</t>
  </si>
  <si>
    <t>J13 SS</t>
  </si>
  <si>
    <t>J14 SS</t>
  </si>
  <si>
    <t>J15 SS</t>
  </si>
  <si>
    <t>1/4 final</t>
  </si>
  <si>
    <t>J17 SH</t>
  </si>
  <si>
    <t>J18 SH</t>
  </si>
  <si>
    <t>J17 SS</t>
  </si>
  <si>
    <t>J18 SS</t>
  </si>
  <si>
    <t>9º-12º</t>
  </si>
  <si>
    <t>J13 PH</t>
  </si>
  <si>
    <t>J14 PH</t>
  </si>
  <si>
    <t>J15 PH</t>
  </si>
  <si>
    <t>J16 PH</t>
  </si>
  <si>
    <t>J13 PS</t>
  </si>
  <si>
    <t>J14 PS</t>
  </si>
  <si>
    <t>J15 PS</t>
  </si>
  <si>
    <t>J16 PS</t>
  </si>
  <si>
    <t>J13 PM</t>
  </si>
  <si>
    <t>J14 PM</t>
  </si>
  <si>
    <t>J15 PM</t>
  </si>
  <si>
    <t>J16 PM</t>
  </si>
  <si>
    <t>J17 PM</t>
  </si>
  <si>
    <t>J18 PM</t>
  </si>
  <si>
    <t>J17 PS</t>
  </si>
  <si>
    <t>1/4 final + 9º-12º</t>
  </si>
  <si>
    <t>J19 SH</t>
  </si>
  <si>
    <t>J20 SH</t>
  </si>
  <si>
    <t>J21 SH</t>
  </si>
  <si>
    <t>J19 SS</t>
  </si>
  <si>
    <t>J20 SS</t>
  </si>
  <si>
    <t>J21 SS</t>
  </si>
  <si>
    <t>5º-8º  + 11º/12º</t>
  </si>
  <si>
    <t>J19 PH</t>
  </si>
  <si>
    <t>J20 PH</t>
  </si>
  <si>
    <t>J19 PS</t>
  </si>
  <si>
    <t>J20 PS</t>
  </si>
  <si>
    <t>J19 PM</t>
  </si>
  <si>
    <t>J20 PM</t>
  </si>
  <si>
    <t>24 - Manhã</t>
  </si>
  <si>
    <t>J22 SH</t>
  </si>
  <si>
    <t>J23 SH</t>
  </si>
  <si>
    <t>J24 SH</t>
  </si>
  <si>
    <t>J25 SH</t>
  </si>
  <si>
    <t>J22 SS</t>
  </si>
  <si>
    <t>J23 SS</t>
  </si>
  <si>
    <t>J24 SS</t>
  </si>
  <si>
    <t>J25 SS</t>
  </si>
  <si>
    <t>7º/8º + 1/2 finais + 9º/10º</t>
  </si>
  <si>
    <t>J22 PH</t>
  </si>
  <si>
    <t>J23 PH</t>
  </si>
  <si>
    <t>J24 PH</t>
  </si>
  <si>
    <t>J25 PH</t>
  </si>
  <si>
    <t>J22 PS</t>
  </si>
  <si>
    <t>J23 PS</t>
  </si>
  <si>
    <t>J24 PS</t>
  </si>
  <si>
    <t>J25 PS</t>
  </si>
  <si>
    <t>J22 PM</t>
  </si>
  <si>
    <t>J23 PM</t>
  </si>
  <si>
    <t>J24 PM</t>
  </si>
  <si>
    <t>J25 PM</t>
  </si>
  <si>
    <t>J26 SH</t>
  </si>
  <si>
    <t>J26 SS</t>
  </si>
  <si>
    <t>J26 PH</t>
  </si>
  <si>
    <t>J26 PS</t>
  </si>
  <si>
    <t>J26 PM</t>
  </si>
  <si>
    <t>5º/6º</t>
  </si>
  <si>
    <t>25-Manhã</t>
  </si>
  <si>
    <t>J27 SH</t>
  </si>
  <si>
    <t>J27 SS</t>
  </si>
  <si>
    <t>J27 PH</t>
  </si>
  <si>
    <t>J27 PS</t>
  </si>
  <si>
    <t>J27 PM</t>
  </si>
  <si>
    <t>3º/4º</t>
  </si>
  <si>
    <t>J28 PH</t>
  </si>
  <si>
    <t>J28 PS</t>
  </si>
  <si>
    <t>J28 PM</t>
  </si>
  <si>
    <t>Finais</t>
  </si>
  <si>
    <t>J28 SH</t>
  </si>
  <si>
    <t>J28 SS</t>
  </si>
  <si>
    <r>
      <rPr>
        <b/>
        <sz val="10"/>
        <rFont val="Arial"/>
        <family val="2"/>
      </rPr>
      <t xml:space="preserve"> 
</t>
    </r>
    <r>
      <rPr>
        <b/>
        <sz val="10"/>
        <rFont val="Wingdings"/>
        <charset val="2"/>
      </rPr>
      <t>"</t>
    </r>
    <r>
      <rPr>
        <b/>
        <sz val="10"/>
        <rFont val="Arial"/>
        <family val="2"/>
      </rPr>
      <t xml:space="preserve"> </t>
    </r>
    <r>
      <rPr>
        <sz val="10"/>
        <rFont val="Arial"/>
        <family val="2"/>
      </rPr>
      <t xml:space="preserve">-----------------------------------------------------------------------------------------------------------------------------------------------------
</t>
    </r>
  </si>
  <si>
    <r>
      <rPr>
        <b/>
        <sz val="11"/>
        <color rgb="FFFF0000"/>
        <rFont val="Calibri"/>
        <family val="2"/>
        <scheme val="minor"/>
      </rPr>
      <t xml:space="preserve">2ª Regra -  </t>
    </r>
    <r>
      <rPr>
        <sz val="11"/>
        <color theme="1"/>
        <rFont val="Calibri"/>
        <family val="2"/>
        <scheme val="minor"/>
      </rPr>
      <t>No inicio do torneio colocar  o nome do torneio, local e data nas células C2 e C3 de cada folha (podem fazer copy para as outras folhas).
Depois colocar os jogadores em cada grupo conforme regras do regulamento no sentido de colocar cruzamentos de jogadores da mesma escola ou cabeças de série para o mais tarde possível. Ter em conta os cruzamentos futuros onde cruzam os grupos "A com B" e "C com D".
O número de grupos ou o número de jogadores em cada grupo depende do nº de presenças e da forma em como se quer formatar o torneio.</t>
    </r>
  </si>
  <si>
    <r>
      <rPr>
        <b/>
        <sz val="11"/>
        <color rgb="FFFF0000"/>
        <rFont val="Calibri"/>
        <family val="2"/>
        <scheme val="minor"/>
      </rPr>
      <t xml:space="preserve">5ª Regra -  </t>
    </r>
    <r>
      <rPr>
        <sz val="11"/>
        <rFont val="Calibri"/>
        <family val="2"/>
        <scheme val="minor"/>
      </rPr>
      <t xml:space="preserve">Se, por qualquer motivo, for conveniente "abrir"/desproteger a folha, fazendo no separador superior "Rever/Desproteger folha",  convém que </t>
    </r>
    <r>
      <rPr>
        <b/>
        <sz val="11"/>
        <color rgb="FFFF0000"/>
        <rFont val="Calibri"/>
        <family val="2"/>
        <scheme val="minor"/>
      </rPr>
      <t>logo a seguir às alterações</t>
    </r>
    <r>
      <rPr>
        <sz val="11"/>
        <rFont val="Calibri"/>
        <family val="2"/>
        <scheme val="minor"/>
      </rPr>
      <t xml:space="preserve"> voltem a proteger a folha para evitar propagação de erros nas fórmulas e só depois continuarem a utilizar a folha.</t>
    </r>
  </si>
  <si>
    <t>Jogador/Par</t>
  </si>
  <si>
    <t>nº
vitórias</t>
  </si>
  <si>
    <t>saldo
sets</t>
  </si>
  <si>
    <t>saldo
pontos</t>
  </si>
  <si>
    <t>Ver aqui os critérios
desempate</t>
  </si>
  <si>
    <t>--  Classificação A --</t>
  </si>
  <si>
    <t>--  Classificação B --</t>
  </si>
  <si>
    <t>--  Classificação C --</t>
  </si>
  <si>
    <t>--  Classificação D --</t>
  </si>
  <si>
    <t>A1</t>
  </si>
  <si>
    <t>Controlo--&gt;</t>
  </si>
  <si>
    <t>Joana Pinto (AE Sertã)</t>
  </si>
  <si>
    <t>Manuel P./João V. (AE Sertã)</t>
  </si>
  <si>
    <t>Joana P/Carla S (AE Sertã)</t>
  </si>
  <si>
    <t>Manuel P/Margarida C (AE Sertã)</t>
  </si>
  <si>
    <r>
      <rPr>
        <b/>
        <sz val="11"/>
        <color rgb="FFFF0000"/>
        <rFont val="Calibri"/>
        <family val="2"/>
        <scheme val="minor"/>
      </rPr>
      <t>1º Regra de ouro -</t>
    </r>
    <r>
      <rPr>
        <sz val="11"/>
        <color theme="1"/>
        <rFont val="Calibri"/>
        <family val="2"/>
        <scheme val="minor"/>
      </rPr>
      <t xml:space="preserve"> Escrever apenas nas zonas sombreadas a azul; se tudo correr como costume (não houver empates na fase de grupos) será só colocar o nome dos jogadores em cada grupo e os resultados dos jogos e não será preciso mais nada).</t>
    </r>
  </si>
  <si>
    <r>
      <rPr>
        <b/>
        <sz val="11"/>
        <color rgb="FFFF0000"/>
        <rFont val="Calibri"/>
        <family val="2"/>
        <scheme val="minor"/>
      </rPr>
      <t>3º Regra -</t>
    </r>
    <r>
      <rPr>
        <sz val="11"/>
        <color rgb="FFFF0000"/>
        <rFont val="Calibri"/>
        <family val="2"/>
        <scheme val="minor"/>
      </rPr>
      <t xml:space="preserve"> </t>
    </r>
    <r>
      <rPr>
        <sz val="11"/>
        <rFont val="Calibri"/>
        <family val="2"/>
        <scheme val="minor"/>
      </rPr>
      <t xml:space="preserve">Para emissão dos  boletins colocar </t>
    </r>
    <r>
      <rPr>
        <b/>
        <sz val="11"/>
        <color rgb="FFFF0000"/>
        <rFont val="Calibri"/>
        <family val="2"/>
        <scheme val="minor"/>
      </rPr>
      <t xml:space="preserve">os nºs </t>
    </r>
    <r>
      <rPr>
        <sz val="11"/>
        <rFont val="Calibri"/>
        <family val="2"/>
        <scheme val="minor"/>
      </rPr>
      <t xml:space="preserve"> dos </t>
    </r>
    <r>
      <rPr>
        <b/>
        <sz val="11"/>
        <rFont val="Calibri"/>
        <family val="2"/>
        <scheme val="minor"/>
      </rPr>
      <t>dois</t>
    </r>
    <r>
      <rPr>
        <sz val="11"/>
        <rFont val="Calibri"/>
        <family val="2"/>
        <scheme val="minor"/>
      </rPr>
      <t xml:space="preserve"> jogos que se pretendem efetuar nas células  AG27 e AI27. Os boletins relativos a jogos de faltas de comparência não se emitem.
De seguida é só mandar imprimir e o par de boletins sai impresso. Finalmente é só cortar (mais prático utilizar uma régua, apertar e rasgar) e mandar chamar os jogos.</t>
    </r>
  </si>
  <si>
    <r>
      <t>4º Regra -</t>
    </r>
    <r>
      <rPr>
        <sz val="11"/>
        <color rgb="FFFF0000"/>
        <rFont val="Calibri"/>
        <family val="2"/>
        <scheme val="minor"/>
      </rPr>
      <t xml:space="preserve"> </t>
    </r>
    <r>
      <rPr>
        <sz val="11"/>
        <rFont val="Calibri"/>
        <family val="2"/>
        <scheme val="minor"/>
      </rPr>
      <t xml:space="preserve">Logo após </t>
    </r>
    <r>
      <rPr>
        <b/>
        <sz val="11"/>
        <color rgb="FFFF0000"/>
        <rFont val="Calibri"/>
        <family val="2"/>
        <scheme val="minor"/>
      </rPr>
      <t>todos</t>
    </r>
    <r>
      <rPr>
        <sz val="11"/>
        <rFont val="Calibri"/>
        <family val="2"/>
        <scheme val="minor"/>
      </rPr>
      <t xml:space="preserve"> os jogos de cada grupo e no caso de empates que são mostrados na zona da classificação de cada grupo (área D12:D15, por exemplo para o grupo A) então devem-se desempatar manualmente os jogadores/pares e depois </t>
    </r>
    <r>
      <rPr>
        <b/>
        <sz val="11"/>
        <color rgb="FFFF0000"/>
        <rFont val="Calibri"/>
        <family val="2"/>
        <scheme val="minor"/>
      </rPr>
      <t>colar os nomes</t>
    </r>
    <r>
      <rPr>
        <sz val="11"/>
        <rFont val="Calibri"/>
        <family val="2"/>
        <scheme val="minor"/>
      </rPr>
      <t xml:space="preserve"> na posição classificativa correta na área de classificação do respetivo grupo.
ATENÇÃO: Esta </t>
    </r>
    <r>
      <rPr>
        <b/>
        <sz val="11"/>
        <color rgb="FFFF0000"/>
        <rFont val="Calibri"/>
        <family val="2"/>
        <scheme val="minor"/>
      </rPr>
      <t>"colagem"</t>
    </r>
    <r>
      <rPr>
        <sz val="11"/>
        <rFont val="Calibri"/>
        <family val="2"/>
        <scheme val="minor"/>
      </rPr>
      <t xml:space="preserve"> deve ser feita, após desproteger a folha (executar a 5ª regra), selecionando o nome dos atletas empatados da área de entrada dos nomes (área D7:D10 para o grupo A, por exemplo) e efetuar "copy". De seguida efetuar "Colar especial/Valores" (NÃO EFETUAR "COLAR"/"PASTE" TUDO!!) e voltar a proteger a folha como descrito na 5ª regra. Outra hipótese é escrever manualmente os nomes dos atletas já desempatados manualmente, após desproteger a folha, na posição classificativa correta da zona de classificação (área D12:D15, por exemplo para o grupo A) e logo a seguir voltar a proteger a folha.</t>
    </r>
  </si>
</sst>
</file>

<file path=xl/styles.xml><?xml version="1.0" encoding="utf-8"?>
<styleSheet xmlns="http://schemas.openxmlformats.org/spreadsheetml/2006/main">
  <fonts count="66">
    <font>
      <sz val="11"/>
      <color theme="1"/>
      <name val="Calibri"/>
      <family val="2"/>
      <scheme val="minor"/>
    </font>
    <font>
      <sz val="10"/>
      <name val="Arial"/>
      <family val="2"/>
    </font>
    <font>
      <sz val="8"/>
      <name val="Arial"/>
      <family val="2"/>
    </font>
    <font>
      <b/>
      <sz val="10"/>
      <name val="Arial"/>
      <family val="2"/>
    </font>
    <font>
      <b/>
      <sz val="11"/>
      <color indexed="8"/>
      <name val="Calibri"/>
      <family val="2"/>
      <scheme val="minor"/>
    </font>
    <font>
      <sz val="10"/>
      <color indexed="8"/>
      <name val="Calibri"/>
      <family val="2"/>
      <scheme val="minor"/>
    </font>
    <font>
      <sz val="12"/>
      <color indexed="60"/>
      <name val="Calibri"/>
      <family val="2"/>
      <scheme val="minor"/>
    </font>
    <font>
      <b/>
      <sz val="11"/>
      <color indexed="10"/>
      <name val="Calibri"/>
      <family val="2"/>
      <scheme val="minor"/>
    </font>
    <font>
      <b/>
      <sz val="9"/>
      <color indexed="8"/>
      <name val="Calibri"/>
      <family val="2"/>
      <scheme val="minor"/>
    </font>
    <font>
      <sz val="9"/>
      <color indexed="8"/>
      <name val="Calibri"/>
      <family val="2"/>
      <scheme val="minor"/>
    </font>
    <font>
      <b/>
      <sz val="10"/>
      <color indexed="8"/>
      <name val="Calibri"/>
      <family val="2"/>
      <scheme val="minor"/>
    </font>
    <font>
      <sz val="7"/>
      <color indexed="12"/>
      <name val="Calibri"/>
      <family val="2"/>
      <scheme val="minor"/>
    </font>
    <font>
      <b/>
      <u/>
      <sz val="9"/>
      <color indexed="8"/>
      <name val="Calibri"/>
      <family val="2"/>
      <scheme val="minor"/>
    </font>
    <font>
      <sz val="11"/>
      <color indexed="10"/>
      <name val="Calibri"/>
      <family val="2"/>
      <scheme val="minor"/>
    </font>
    <font>
      <sz val="11"/>
      <color indexed="8"/>
      <name val="Calibri"/>
      <family val="2"/>
      <scheme val="minor"/>
    </font>
    <font>
      <sz val="12"/>
      <color indexed="8"/>
      <name val="Calibri"/>
      <family val="2"/>
      <scheme val="minor"/>
    </font>
    <font>
      <b/>
      <sz val="12"/>
      <color indexed="8"/>
      <name val="Calibri"/>
      <family val="2"/>
      <scheme val="minor"/>
    </font>
    <font>
      <b/>
      <sz val="12"/>
      <color indexed="10"/>
      <name val="Calibri"/>
      <family val="2"/>
      <scheme val="minor"/>
    </font>
    <font>
      <b/>
      <i/>
      <sz val="14"/>
      <color rgb="FFFF0000"/>
      <name val="Calibri"/>
      <family val="2"/>
      <scheme val="minor"/>
    </font>
    <font>
      <sz val="12"/>
      <color indexed="53"/>
      <name val="Calibri"/>
      <family val="2"/>
      <scheme val="minor"/>
    </font>
    <font>
      <b/>
      <sz val="14"/>
      <color rgb="FFC00000"/>
      <name val="Calibri"/>
      <family val="2"/>
      <scheme val="minor"/>
    </font>
    <font>
      <b/>
      <sz val="12"/>
      <color rgb="FFC00000"/>
      <name val="Calibri"/>
      <family val="2"/>
      <scheme val="minor"/>
    </font>
    <font>
      <sz val="10"/>
      <color rgb="FFC00000"/>
      <name val="Calibri"/>
      <family val="2"/>
      <scheme val="minor"/>
    </font>
    <font>
      <sz val="12"/>
      <color indexed="60"/>
      <name val="Calibri"/>
      <family val="2"/>
    </font>
    <font>
      <b/>
      <sz val="8"/>
      <color indexed="12"/>
      <name val="Calibri"/>
      <family val="2"/>
      <scheme val="minor"/>
    </font>
    <font>
      <b/>
      <u/>
      <sz val="10"/>
      <color indexed="8"/>
      <name val="Calibri"/>
      <family val="2"/>
      <scheme val="minor"/>
    </font>
    <font>
      <b/>
      <sz val="11"/>
      <name val="Arial"/>
      <family val="2"/>
    </font>
    <font>
      <sz val="10"/>
      <name val="Arial"/>
      <family val="2"/>
    </font>
    <font>
      <b/>
      <sz val="12"/>
      <color theme="1"/>
      <name val="Calibri"/>
      <family val="2"/>
      <scheme val="minor"/>
    </font>
    <font>
      <b/>
      <sz val="12"/>
      <name val="Arial"/>
      <family val="2"/>
    </font>
    <font>
      <sz val="12"/>
      <name val="Arial"/>
      <family val="2"/>
    </font>
    <font>
      <b/>
      <i/>
      <sz val="10"/>
      <name val="Arial"/>
      <family val="2"/>
    </font>
    <font>
      <i/>
      <sz val="8"/>
      <name val="Arial"/>
      <family val="2"/>
    </font>
    <font>
      <b/>
      <sz val="8"/>
      <name val="Arial"/>
      <family val="2"/>
    </font>
    <font>
      <b/>
      <sz val="10"/>
      <name val="Wingdings"/>
      <charset val="2"/>
    </font>
    <font>
      <sz val="8"/>
      <color indexed="8"/>
      <name val="Calibri"/>
      <family val="2"/>
      <scheme val="minor"/>
    </font>
    <font>
      <b/>
      <sz val="12"/>
      <name val="Calibri"/>
      <family val="2"/>
      <scheme val="minor"/>
    </font>
    <font>
      <b/>
      <u/>
      <sz val="12"/>
      <color indexed="8"/>
      <name val="Calibri"/>
      <family val="2"/>
      <scheme val="minor"/>
    </font>
    <font>
      <b/>
      <sz val="8"/>
      <color indexed="8"/>
      <name val="Calibri"/>
      <family val="2"/>
      <scheme val="minor"/>
    </font>
    <font>
      <b/>
      <sz val="8"/>
      <name val="Calibri"/>
      <family val="2"/>
      <scheme val="minor"/>
    </font>
    <font>
      <b/>
      <sz val="12"/>
      <name val="Calibri"/>
      <family val="2"/>
    </font>
    <font>
      <sz val="7"/>
      <name val="Arial"/>
      <family val="2"/>
    </font>
    <font>
      <b/>
      <sz val="8"/>
      <color rgb="FFFF0000"/>
      <name val="Gill Sans MT"/>
      <family val="2"/>
    </font>
    <font>
      <i/>
      <sz val="9"/>
      <color indexed="8"/>
      <name val="Calibri"/>
      <family val="2"/>
      <scheme val="minor"/>
    </font>
    <font>
      <b/>
      <sz val="10"/>
      <name val="Calibri"/>
      <family val="2"/>
      <scheme val="minor"/>
    </font>
    <font>
      <b/>
      <sz val="11"/>
      <color theme="1"/>
      <name val="Calibri"/>
      <family val="2"/>
      <scheme val="minor"/>
    </font>
    <font>
      <b/>
      <sz val="14"/>
      <color theme="1"/>
      <name val="Calibri"/>
      <family val="2"/>
      <scheme val="minor"/>
    </font>
    <font>
      <b/>
      <i/>
      <sz val="14"/>
      <color theme="1"/>
      <name val="Calibri"/>
      <family val="2"/>
      <scheme val="minor"/>
    </font>
    <font>
      <b/>
      <i/>
      <sz val="11"/>
      <color theme="1"/>
      <name val="Calibri"/>
      <family val="2"/>
      <scheme val="minor"/>
    </font>
    <font>
      <sz val="11"/>
      <color rgb="FFFF0000"/>
      <name val="Calibri"/>
      <family val="2"/>
      <scheme val="minor"/>
    </font>
    <font>
      <b/>
      <i/>
      <sz val="16"/>
      <color rgb="FFFF0000"/>
      <name val="Calibri"/>
      <family val="2"/>
      <scheme val="minor"/>
    </font>
    <font>
      <b/>
      <i/>
      <sz val="12"/>
      <color theme="1"/>
      <name val="Calibri"/>
      <family val="2"/>
      <scheme val="minor"/>
    </font>
    <font>
      <b/>
      <sz val="20"/>
      <color theme="1"/>
      <name val="Calibri"/>
      <family val="2"/>
      <scheme val="minor"/>
    </font>
    <font>
      <b/>
      <sz val="11"/>
      <color rgb="FFFF0000"/>
      <name val="Calibri"/>
      <family val="2"/>
      <scheme val="minor"/>
    </font>
    <font>
      <sz val="11"/>
      <name val="Calibri"/>
      <family val="2"/>
      <scheme val="minor"/>
    </font>
    <font>
      <b/>
      <i/>
      <u/>
      <sz val="14"/>
      <color rgb="FF0404F2"/>
      <name val="Calibri"/>
      <family val="2"/>
      <scheme val="minor"/>
    </font>
    <font>
      <b/>
      <sz val="22"/>
      <color theme="1"/>
      <name val="Calibri"/>
      <family val="2"/>
      <scheme val="minor"/>
    </font>
    <font>
      <b/>
      <i/>
      <sz val="18"/>
      <color rgb="FFFF0000"/>
      <name val="Calibri"/>
      <family val="2"/>
      <scheme val="minor"/>
    </font>
    <font>
      <b/>
      <sz val="16"/>
      <color theme="1"/>
      <name val="Calibri"/>
      <family val="2"/>
      <scheme val="minor"/>
    </font>
    <font>
      <b/>
      <i/>
      <sz val="20"/>
      <color theme="1"/>
      <name val="Calibri"/>
      <family val="2"/>
      <scheme val="minor"/>
    </font>
    <font>
      <b/>
      <sz val="16"/>
      <name val="Arial"/>
      <family val="2"/>
    </font>
    <font>
      <b/>
      <sz val="11"/>
      <name val="Calibri"/>
      <family val="2"/>
      <scheme val="minor"/>
    </font>
    <font>
      <b/>
      <sz val="7"/>
      <name val="Arial"/>
      <family val="2"/>
    </font>
    <font>
      <sz val="8"/>
      <name val="Calibri"/>
      <family val="2"/>
      <scheme val="minor"/>
    </font>
    <font>
      <sz val="9"/>
      <color indexed="81"/>
      <name val="Tahoma"/>
      <family val="2"/>
    </font>
    <font>
      <b/>
      <sz val="9"/>
      <color indexed="81"/>
      <name val="Tahoma"/>
      <family val="2"/>
    </font>
  </fonts>
  <fills count="2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9"/>
        <bgColor indexed="9"/>
      </patternFill>
    </fill>
    <fill>
      <patternFill patternType="solid">
        <fgColor theme="0" tint="-0.14996795556505021"/>
        <bgColor indexed="64"/>
      </patternFill>
    </fill>
    <fill>
      <patternFill patternType="solid">
        <fgColor theme="0" tint="-0.14996795556505021"/>
        <bgColor indexed="9"/>
      </patternFill>
    </fill>
    <fill>
      <patternFill patternType="solid">
        <fgColor theme="0" tint="-0.24994659260841701"/>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79998168889431442"/>
        <bgColor indexed="9"/>
      </patternFill>
    </fill>
    <fill>
      <patternFill patternType="solid">
        <fgColor theme="9" tint="0.59996337778862885"/>
        <bgColor indexed="64"/>
      </patternFill>
    </fill>
    <fill>
      <patternFill patternType="solid">
        <fgColor theme="6" tint="0.59996337778862885"/>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indexed="6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6337778862885"/>
        <bgColor indexed="64"/>
      </patternFill>
    </fill>
    <fill>
      <patternFill patternType="solid">
        <fgColor rgb="FFFFFF00"/>
        <bgColor rgb="FF000000"/>
      </patternFill>
    </fill>
  </fills>
  <borders count="1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top style="double">
        <color indexed="64"/>
      </top>
      <bottom/>
      <diagonal/>
    </border>
    <border>
      <left/>
      <right style="medium">
        <color indexed="64"/>
      </right>
      <top style="double">
        <color indexed="64"/>
      </top>
      <bottom/>
      <diagonal/>
    </border>
    <border>
      <left/>
      <right/>
      <top/>
      <bottom style="double">
        <color indexed="64"/>
      </bottom>
      <diagonal/>
    </border>
    <border>
      <left/>
      <right style="medium">
        <color indexed="64"/>
      </right>
      <top/>
      <bottom style="double">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double">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double">
        <color indexed="64"/>
      </bottom>
      <diagonal/>
    </border>
    <border>
      <left/>
      <right/>
      <top style="medium">
        <color indexed="64"/>
      </top>
      <bottom style="thin">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style="thin">
        <color indexed="64"/>
      </top>
      <bottom/>
      <diagonal/>
    </border>
    <border>
      <left style="dotted">
        <color indexed="64"/>
      </left>
      <right style="dotted">
        <color indexed="64"/>
      </right>
      <top style="double">
        <color indexed="64"/>
      </top>
      <bottom/>
      <diagonal/>
    </border>
    <border>
      <left style="dotted">
        <color indexed="64"/>
      </left>
      <right style="dotted">
        <color indexed="64"/>
      </right>
      <top/>
      <bottom style="double">
        <color indexed="64"/>
      </bottom>
      <diagonal/>
    </border>
    <border>
      <left style="dotted">
        <color indexed="64"/>
      </left>
      <right style="dotted">
        <color indexed="64"/>
      </right>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style="double">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style="double">
        <color indexed="64"/>
      </right>
      <top style="thin">
        <color indexed="64"/>
      </top>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double">
        <color indexed="64"/>
      </bottom>
      <diagonal/>
    </border>
    <border>
      <left style="medium">
        <color indexed="64"/>
      </left>
      <right/>
      <top style="dashed">
        <color indexed="64"/>
      </top>
      <bottom style="thin">
        <color indexed="64"/>
      </bottom>
      <diagonal/>
    </border>
    <border>
      <left/>
      <right style="medium">
        <color indexed="64"/>
      </right>
      <top style="dashed">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auto="1"/>
      </right>
      <top style="double">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dashed">
        <color indexed="64"/>
      </top>
      <bottom style="thin">
        <color indexed="64"/>
      </bottom>
      <diagonal/>
    </border>
    <border>
      <left style="medium">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dashed">
        <color indexed="64"/>
      </left>
      <right style="dashed">
        <color indexed="64"/>
      </right>
      <top/>
      <bottom/>
      <diagonal/>
    </border>
    <border>
      <left style="dashed">
        <color indexed="64"/>
      </left>
      <right/>
      <top/>
      <bottom/>
      <diagonal/>
    </border>
    <border>
      <left style="dashed">
        <color auto="1"/>
      </left>
      <right style="dashed">
        <color auto="1"/>
      </right>
      <top/>
      <bottom style="thin">
        <color auto="1"/>
      </bottom>
      <diagonal/>
    </border>
    <border>
      <left/>
      <right style="dashed">
        <color auto="1"/>
      </right>
      <top/>
      <bottom style="hair">
        <color auto="1"/>
      </bottom>
      <diagonal/>
    </border>
    <border>
      <left style="dashed">
        <color auto="1"/>
      </left>
      <right style="dashed">
        <color auto="1"/>
      </right>
      <top/>
      <bottom style="hair">
        <color auto="1"/>
      </bottom>
      <diagonal/>
    </border>
    <border>
      <left style="dashed">
        <color auto="1"/>
      </left>
      <right style="dashed">
        <color auto="1"/>
      </right>
      <top style="thin">
        <color auto="1"/>
      </top>
      <bottom style="hair">
        <color auto="1"/>
      </bottom>
      <diagonal/>
    </border>
    <border>
      <left/>
      <right style="dashed">
        <color auto="1"/>
      </right>
      <top style="hair">
        <color auto="1"/>
      </top>
      <bottom style="hair">
        <color auto="1"/>
      </bottom>
      <diagonal/>
    </border>
    <border>
      <left style="dashed">
        <color auto="1"/>
      </left>
      <right style="dashed">
        <color auto="1"/>
      </right>
      <top style="hair">
        <color auto="1"/>
      </top>
      <bottom style="hair">
        <color auto="1"/>
      </bottom>
      <diagonal/>
    </border>
    <border>
      <left/>
      <right style="dashed">
        <color auto="1"/>
      </right>
      <top style="hair">
        <color auto="1"/>
      </top>
      <bottom/>
      <diagonal/>
    </border>
    <border>
      <left style="dashed">
        <color auto="1"/>
      </left>
      <right style="dashed">
        <color auto="1"/>
      </right>
      <top style="hair">
        <color auto="1"/>
      </top>
      <bottom style="thin">
        <color auto="1"/>
      </bottom>
      <diagonal/>
    </border>
    <border>
      <left/>
      <right style="dashed">
        <color auto="1"/>
      </right>
      <top style="thin">
        <color auto="1"/>
      </top>
      <bottom style="hair">
        <color auto="1"/>
      </bottom>
      <diagonal/>
    </border>
    <border>
      <left/>
      <right style="dashed">
        <color auto="1"/>
      </right>
      <top style="hair">
        <color auto="1"/>
      </top>
      <bottom style="thin">
        <color auto="1"/>
      </bottom>
      <diagonal/>
    </border>
    <border>
      <left style="dashed">
        <color auto="1"/>
      </left>
      <right style="dashed">
        <color auto="1"/>
      </right>
      <top style="thin">
        <color auto="1"/>
      </top>
      <bottom/>
      <diagonal/>
    </border>
    <border>
      <left style="dashed">
        <color auto="1"/>
      </left>
      <right style="dashed">
        <color auto="1"/>
      </right>
      <top style="hair">
        <color auto="1"/>
      </top>
      <bottom/>
      <diagonal/>
    </border>
  </borders>
  <cellStyleXfs count="4">
    <xf numFmtId="0" fontId="0" fillId="0" borderId="0"/>
    <xf numFmtId="0" fontId="27" fillId="0" borderId="0"/>
    <xf numFmtId="0" fontId="1" fillId="0" borderId="0"/>
    <xf numFmtId="0" fontId="1" fillId="0" borderId="0"/>
  </cellStyleXfs>
  <cellXfs count="508">
    <xf numFmtId="0" fontId="0" fillId="0" borderId="0" xfId="0"/>
    <xf numFmtId="0" fontId="5" fillId="0" borderId="0" xfId="0" applyFont="1" applyProtection="1">
      <protection hidden="1"/>
    </xf>
    <xf numFmtId="0" fontId="5" fillId="0" borderId="31" xfId="0" applyFont="1" applyBorder="1" applyAlignment="1" applyProtection="1">
      <alignment horizontal="left" vertical="center"/>
      <protection hidden="1"/>
    </xf>
    <xf numFmtId="0" fontId="5" fillId="0" borderId="3" xfId="0" applyFont="1" applyBorder="1" applyProtection="1">
      <protection hidden="1"/>
    </xf>
    <xf numFmtId="0" fontId="10" fillId="5" borderId="21" xfId="0" applyFont="1" applyFill="1" applyBorder="1" applyAlignment="1" applyProtection="1">
      <alignment horizontal="center" vertical="center"/>
      <protection hidden="1"/>
    </xf>
    <xf numFmtId="0" fontId="9" fillId="0" borderId="11" xfId="0" applyFont="1" applyBorder="1" applyAlignment="1" applyProtection="1">
      <alignment vertical="center"/>
      <protection hidden="1"/>
    </xf>
    <xf numFmtId="0" fontId="14" fillId="0" borderId="20" xfId="0" applyFont="1" applyBorder="1" applyAlignment="1" applyProtection="1">
      <alignment horizontal="left" vertical="center"/>
      <protection hidden="1"/>
    </xf>
    <xf numFmtId="0" fontId="5" fillId="0" borderId="5" xfId="0" quotePrefix="1" applyFont="1" applyBorder="1" applyAlignment="1" applyProtection="1">
      <alignment horizontal="center" vertical="center"/>
      <protection hidden="1"/>
    </xf>
    <xf numFmtId="0" fontId="5" fillId="0" borderId="22" xfId="0" applyFont="1" applyBorder="1" applyAlignment="1" applyProtection="1">
      <alignment horizontal="center" vertical="center"/>
      <protection hidden="1"/>
    </xf>
    <xf numFmtId="0" fontId="9" fillId="0" borderId="10" xfId="0" applyFont="1" applyBorder="1" applyAlignment="1" applyProtection="1">
      <alignment vertical="center"/>
      <protection hidden="1"/>
    </xf>
    <xf numFmtId="0" fontId="5" fillId="0" borderId="5" xfId="0" applyFont="1" applyBorder="1" applyAlignment="1" applyProtection="1">
      <alignment horizontal="center" vertical="center"/>
      <protection hidden="1"/>
    </xf>
    <xf numFmtId="0" fontId="5" fillId="0" borderId="9" xfId="0" applyFont="1" applyBorder="1" applyAlignment="1" applyProtection="1">
      <alignment horizontal="center" vertical="center"/>
      <protection hidden="1"/>
    </xf>
    <xf numFmtId="0" fontId="5" fillId="0" borderId="10" xfId="0" applyFont="1" applyBorder="1" applyAlignment="1" applyProtection="1">
      <alignment vertical="center"/>
      <protection hidden="1"/>
    </xf>
    <xf numFmtId="0" fontId="4" fillId="5" borderId="20" xfId="0" applyFont="1" applyFill="1" applyBorder="1" applyAlignment="1" applyProtection="1">
      <alignment horizontal="left" vertical="center"/>
      <protection hidden="1"/>
    </xf>
    <xf numFmtId="0" fontId="5" fillId="5" borderId="10" xfId="0" applyFont="1" applyFill="1" applyBorder="1" applyAlignment="1" applyProtection="1">
      <alignment vertical="center"/>
      <protection hidden="1"/>
    </xf>
    <xf numFmtId="0" fontId="14" fillId="0" borderId="20" xfId="0" applyFont="1" applyFill="1" applyBorder="1" applyAlignment="1" applyProtection="1">
      <alignment horizontal="left" vertical="center"/>
      <protection hidden="1"/>
    </xf>
    <xf numFmtId="0" fontId="5" fillId="0" borderId="10" xfId="0" applyFont="1" applyFill="1" applyBorder="1" applyAlignment="1" applyProtection="1">
      <alignment vertical="center"/>
      <protection hidden="1"/>
    </xf>
    <xf numFmtId="0" fontId="14" fillId="0" borderId="20" xfId="0" applyFont="1" applyBorder="1" applyAlignment="1" applyProtection="1">
      <alignment horizontal="left" vertical="top"/>
      <protection hidden="1"/>
    </xf>
    <xf numFmtId="0" fontId="5" fillId="0" borderId="10" xfId="0" applyFont="1" applyBorder="1" applyAlignment="1" applyProtection="1">
      <alignment vertical="top"/>
      <protection hidden="1"/>
    </xf>
    <xf numFmtId="0" fontId="14" fillId="0" borderId="20" xfId="0" applyFont="1" applyFill="1" applyBorder="1" applyAlignment="1" applyProtection="1">
      <alignment horizontal="left" vertical="top"/>
      <protection hidden="1"/>
    </xf>
    <xf numFmtId="0" fontId="5" fillId="0" borderId="10" xfId="0" applyFont="1" applyFill="1" applyBorder="1" applyAlignment="1" applyProtection="1">
      <alignment vertical="top"/>
      <protection hidden="1"/>
    </xf>
    <xf numFmtId="0" fontId="10" fillId="6" borderId="49" xfId="0" applyFont="1" applyFill="1" applyBorder="1" applyAlignment="1" applyProtection="1">
      <alignment horizontal="center" vertical="center"/>
      <protection hidden="1"/>
    </xf>
    <xf numFmtId="0" fontId="10" fillId="6" borderId="50" xfId="0" applyFont="1" applyFill="1" applyBorder="1" applyAlignment="1" applyProtection="1">
      <alignment horizontal="center" vertical="center"/>
      <protection hidden="1"/>
    </xf>
    <xf numFmtId="0" fontId="10" fillId="5" borderId="51" xfId="0" applyFont="1" applyFill="1" applyBorder="1" applyAlignment="1" applyProtection="1">
      <alignment horizontal="center" vertical="center"/>
      <protection hidden="1"/>
    </xf>
    <xf numFmtId="0" fontId="10" fillId="5" borderId="50" xfId="0" applyFont="1" applyFill="1" applyBorder="1" applyAlignment="1" applyProtection="1">
      <alignment horizontal="center" vertical="center"/>
      <protection hidden="1"/>
    </xf>
    <xf numFmtId="0" fontId="10" fillId="4" borderId="52" xfId="0" applyFont="1" applyFill="1" applyBorder="1" applyAlignment="1" applyProtection="1">
      <alignment horizontal="center" vertical="center"/>
      <protection hidden="1"/>
    </xf>
    <xf numFmtId="0" fontId="10" fillId="4" borderId="50" xfId="0" applyFont="1" applyFill="1" applyBorder="1" applyAlignment="1" applyProtection="1">
      <alignment horizontal="center" vertical="center"/>
      <protection hidden="1"/>
    </xf>
    <xf numFmtId="0" fontId="10" fillId="2" borderId="51" xfId="0" applyFont="1" applyFill="1" applyBorder="1" applyAlignment="1" applyProtection="1">
      <alignment horizontal="center" vertical="center"/>
      <protection hidden="1"/>
    </xf>
    <xf numFmtId="0" fontId="10" fillId="2" borderId="53" xfId="0" applyFont="1" applyFill="1" applyBorder="1" applyAlignment="1" applyProtection="1">
      <alignment horizontal="center" vertical="center"/>
      <protection hidden="1"/>
    </xf>
    <xf numFmtId="0" fontId="10" fillId="5" borderId="54" xfId="0" applyFont="1" applyFill="1" applyBorder="1" applyAlignment="1" applyProtection="1">
      <alignment horizontal="center" vertical="center"/>
      <protection hidden="1"/>
    </xf>
    <xf numFmtId="0" fontId="9" fillId="0" borderId="0" xfId="0" applyFont="1" applyBorder="1" applyAlignment="1" applyProtection="1">
      <alignment horizontal="left" vertical="center"/>
      <protection hidden="1"/>
    </xf>
    <xf numFmtId="0" fontId="9" fillId="0" borderId="0" xfId="0" applyFont="1" applyBorder="1" applyAlignment="1" applyProtection="1">
      <alignment horizontal="right" vertical="center"/>
      <protection hidden="1"/>
    </xf>
    <xf numFmtId="0" fontId="9" fillId="0" borderId="0" xfId="0" applyFont="1" applyBorder="1" applyAlignment="1" applyProtection="1">
      <alignment horizontal="center" vertical="center"/>
      <protection hidden="1"/>
    </xf>
    <xf numFmtId="0" fontId="12" fillId="0" borderId="0" xfId="0" applyFont="1" applyBorder="1" applyAlignment="1" applyProtection="1">
      <alignment horizontal="center" vertical="center"/>
      <protection hidden="1"/>
    </xf>
    <xf numFmtId="0" fontId="5" fillId="0" borderId="0" xfId="0" applyFont="1" applyAlignment="1" applyProtection="1">
      <alignment horizontal="left"/>
      <protection hidden="1"/>
    </xf>
    <xf numFmtId="0" fontId="8" fillId="3" borderId="6" xfId="0" applyFont="1" applyFill="1" applyBorder="1" applyAlignment="1" applyProtection="1">
      <alignment horizontal="center" vertical="center"/>
      <protection hidden="1"/>
    </xf>
    <xf numFmtId="0" fontId="9" fillId="0" borderId="4" xfId="0" applyFont="1" applyBorder="1" applyProtection="1">
      <protection hidden="1"/>
    </xf>
    <xf numFmtId="0" fontId="9" fillId="0" borderId="2" xfId="0" applyFont="1" applyBorder="1" applyAlignment="1" applyProtection="1">
      <alignment horizontal="right"/>
      <protection hidden="1"/>
    </xf>
    <xf numFmtId="0" fontId="8" fillId="3" borderId="9" xfId="0" applyFont="1" applyFill="1" applyBorder="1" applyAlignment="1" applyProtection="1">
      <alignment horizontal="center" vertical="center"/>
      <protection hidden="1"/>
    </xf>
    <xf numFmtId="0" fontId="16" fillId="5" borderId="44" xfId="0" applyFont="1" applyFill="1" applyBorder="1" applyAlignment="1" applyProtection="1">
      <alignment horizontal="center" vertical="center"/>
      <protection hidden="1"/>
    </xf>
    <xf numFmtId="0" fontId="9" fillId="0" borderId="0" xfId="0" applyFont="1" applyBorder="1" applyAlignment="1" applyProtection="1">
      <alignment horizontal="left"/>
      <protection hidden="1"/>
    </xf>
    <xf numFmtId="0" fontId="9" fillId="0" borderId="2" xfId="0" applyFont="1" applyBorder="1" applyAlignment="1" applyProtection="1">
      <alignment horizontal="center"/>
      <protection hidden="1"/>
    </xf>
    <xf numFmtId="0" fontId="9" fillId="0" borderId="0" xfId="0" applyFont="1" applyBorder="1" applyAlignment="1" applyProtection="1">
      <alignment horizontal="center"/>
      <protection hidden="1"/>
    </xf>
    <xf numFmtId="0" fontId="10" fillId="5" borderId="47" xfId="0" applyFont="1" applyFill="1" applyBorder="1" applyAlignment="1" applyProtection="1">
      <alignment horizontal="center" vertical="center"/>
      <protection hidden="1"/>
    </xf>
    <xf numFmtId="0" fontId="9" fillId="0" borderId="0" xfId="0" applyFont="1" applyFill="1" applyBorder="1" applyAlignment="1" applyProtection="1">
      <alignment horizontal="center"/>
      <protection hidden="1"/>
    </xf>
    <xf numFmtId="0" fontId="8" fillId="7" borderId="9" xfId="0" applyFont="1" applyFill="1" applyBorder="1" applyAlignment="1" applyProtection="1">
      <alignment horizontal="center" vertical="center"/>
      <protection hidden="1"/>
    </xf>
    <xf numFmtId="0" fontId="9" fillId="0" borderId="2" xfId="0" applyFont="1" applyBorder="1" applyProtection="1">
      <protection hidden="1"/>
    </xf>
    <xf numFmtId="0" fontId="5" fillId="8" borderId="3" xfId="0" applyFont="1" applyFill="1" applyBorder="1" applyProtection="1">
      <protection hidden="1"/>
    </xf>
    <xf numFmtId="0" fontId="5" fillId="8" borderId="0" xfId="0" applyFont="1" applyFill="1" applyBorder="1" applyAlignment="1" applyProtection="1">
      <alignment horizontal="left"/>
      <protection hidden="1"/>
    </xf>
    <xf numFmtId="0" fontId="8" fillId="7" borderId="9" xfId="0" applyFont="1" applyFill="1" applyBorder="1" applyAlignment="1" applyProtection="1">
      <alignment horizontal="center"/>
      <protection hidden="1"/>
    </xf>
    <xf numFmtId="0" fontId="5" fillId="8" borderId="5" xfId="0" applyFont="1" applyFill="1" applyBorder="1" applyProtection="1">
      <protection hidden="1"/>
    </xf>
    <xf numFmtId="0" fontId="9" fillId="0" borderId="2" xfId="0" applyFont="1" applyBorder="1" applyAlignment="1" applyProtection="1">
      <alignment horizontal="left"/>
      <protection hidden="1"/>
    </xf>
    <xf numFmtId="0" fontId="9" fillId="8" borderId="3" xfId="0" applyFont="1" applyFill="1" applyBorder="1" applyAlignment="1" applyProtection="1">
      <alignment horizontal="center"/>
      <protection hidden="1"/>
    </xf>
    <xf numFmtId="0" fontId="5" fillId="8" borderId="0" xfId="0" applyFont="1" applyFill="1" applyBorder="1" applyProtection="1">
      <protection hidden="1"/>
    </xf>
    <xf numFmtId="0" fontId="5" fillId="0" borderId="0" xfId="0" applyFont="1" applyBorder="1" applyProtection="1">
      <protection hidden="1"/>
    </xf>
    <xf numFmtId="0" fontId="9" fillId="0" borderId="0" xfId="0" applyFont="1" applyBorder="1" applyProtection="1">
      <protection hidden="1"/>
    </xf>
    <xf numFmtId="0" fontId="9" fillId="8" borderId="5" xfId="0" applyFont="1" applyFill="1" applyBorder="1" applyAlignment="1" applyProtection="1">
      <alignment horizontal="center"/>
      <protection hidden="1"/>
    </xf>
    <xf numFmtId="0" fontId="4" fillId="8" borderId="0" xfId="0" applyFont="1" applyFill="1" applyBorder="1" applyAlignment="1" applyProtection="1">
      <alignment horizontal="center"/>
      <protection hidden="1"/>
    </xf>
    <xf numFmtId="0" fontId="4" fillId="0" borderId="0" xfId="0" applyFont="1" applyBorder="1" applyAlignment="1" applyProtection="1">
      <alignment horizontal="center"/>
      <protection hidden="1"/>
    </xf>
    <xf numFmtId="0" fontId="9" fillId="0" borderId="0" xfId="0" applyFont="1" applyBorder="1" applyAlignment="1" applyProtection="1">
      <alignment horizontal="right"/>
      <protection hidden="1"/>
    </xf>
    <xf numFmtId="0" fontId="9" fillId="8" borderId="0" xfId="0" applyFont="1" applyFill="1" applyBorder="1" applyProtection="1">
      <protection hidden="1"/>
    </xf>
    <xf numFmtId="0" fontId="5" fillId="0" borderId="2" xfId="0" applyFont="1" applyBorder="1" applyProtection="1">
      <protection hidden="1"/>
    </xf>
    <xf numFmtId="0" fontId="9" fillId="0" borderId="2" xfId="0" applyFont="1" applyFill="1" applyBorder="1" applyAlignment="1" applyProtection="1">
      <alignment horizontal="center"/>
      <protection hidden="1"/>
    </xf>
    <xf numFmtId="0" fontId="24" fillId="0" borderId="0" xfId="0" applyFont="1" applyFill="1" applyBorder="1" applyAlignment="1" applyProtection="1">
      <alignment horizontal="right"/>
      <protection locked="0"/>
    </xf>
    <xf numFmtId="0" fontId="24" fillId="0" borderId="0" xfId="0" applyFont="1" applyBorder="1" applyAlignment="1" applyProtection="1">
      <alignment horizontal="right"/>
      <protection locked="0"/>
    </xf>
    <xf numFmtId="0" fontId="24" fillId="8" borderId="8" xfId="0" applyFont="1" applyFill="1" applyBorder="1" applyAlignment="1" applyProtection="1">
      <alignment horizontal="right"/>
      <protection locked="0"/>
    </xf>
    <xf numFmtId="0" fontId="24" fillId="8" borderId="5" xfId="0" applyFont="1" applyFill="1" applyBorder="1" applyAlignment="1" applyProtection="1">
      <alignment horizontal="right"/>
      <protection locked="0"/>
    </xf>
    <xf numFmtId="0" fontId="9" fillId="8" borderId="0" xfId="0" applyFont="1" applyFill="1" applyBorder="1" applyAlignment="1" applyProtection="1">
      <alignment horizontal="center"/>
      <protection hidden="1"/>
    </xf>
    <xf numFmtId="0" fontId="5" fillId="0" borderId="0" xfId="0" applyFont="1" applyBorder="1" applyAlignment="1" applyProtection="1">
      <alignment horizontal="left"/>
      <protection hidden="1"/>
    </xf>
    <xf numFmtId="0" fontId="9" fillId="10" borderId="9" xfId="0" applyFont="1" applyFill="1" applyBorder="1" applyAlignment="1" applyProtection="1">
      <alignment horizontal="center"/>
      <protection locked="0"/>
    </xf>
    <xf numFmtId="0" fontId="9" fillId="10" borderId="6" xfId="0" applyFont="1" applyFill="1" applyBorder="1" applyAlignment="1" applyProtection="1">
      <alignment horizontal="center"/>
      <protection locked="0"/>
    </xf>
    <xf numFmtId="0" fontId="9" fillId="0" borderId="2" xfId="0" applyFont="1" applyBorder="1" applyAlignment="1" applyProtection="1">
      <alignment horizontal="centerContinuous" vertical="center"/>
      <protection hidden="1"/>
    </xf>
    <xf numFmtId="0" fontId="1" fillId="0" borderId="0" xfId="2" applyBorder="1" applyAlignment="1" applyProtection="1">
      <alignment vertical="center"/>
      <protection hidden="1"/>
    </xf>
    <xf numFmtId="0" fontId="3" fillId="0" borderId="0" xfId="2" applyFont="1" applyBorder="1" applyAlignment="1" applyProtection="1">
      <alignment horizontal="center" vertical="center"/>
      <protection hidden="1"/>
    </xf>
    <xf numFmtId="0" fontId="1" fillId="0" borderId="65" xfId="2" applyBorder="1" applyProtection="1">
      <protection hidden="1"/>
    </xf>
    <xf numFmtId="0" fontId="1" fillId="0" borderId="58" xfId="2" applyBorder="1" applyProtection="1">
      <protection hidden="1"/>
    </xf>
    <xf numFmtId="0" fontId="1" fillId="0" borderId="3" xfId="2" applyBorder="1" applyProtection="1">
      <protection hidden="1"/>
    </xf>
    <xf numFmtId="0" fontId="1" fillId="0" borderId="58" xfId="2" applyFill="1" applyBorder="1" applyProtection="1">
      <protection hidden="1"/>
    </xf>
    <xf numFmtId="0" fontId="1" fillId="0" borderId="58" xfId="2" applyBorder="1" applyAlignment="1" applyProtection="1">
      <alignment horizontal="centerContinuous"/>
      <protection hidden="1"/>
    </xf>
    <xf numFmtId="0" fontId="1" fillId="0" borderId="67" xfId="2" applyBorder="1" applyProtection="1">
      <protection hidden="1"/>
    </xf>
    <xf numFmtId="0" fontId="1" fillId="0" borderId="9" xfId="2" applyBorder="1" applyProtection="1">
      <protection hidden="1"/>
    </xf>
    <xf numFmtId="0" fontId="1" fillId="0" borderId="8" xfId="2" applyBorder="1" applyProtection="1">
      <protection hidden="1"/>
    </xf>
    <xf numFmtId="0" fontId="1" fillId="0" borderId="9" xfId="2" applyFill="1" applyBorder="1" applyProtection="1">
      <protection hidden="1"/>
    </xf>
    <xf numFmtId="0" fontId="1" fillId="0" borderId="9" xfId="2" applyBorder="1" applyAlignment="1" applyProtection="1">
      <alignment horizontal="centerContinuous"/>
      <protection hidden="1"/>
    </xf>
    <xf numFmtId="0" fontId="1" fillId="0" borderId="0" xfId="2" applyBorder="1" applyProtection="1">
      <protection hidden="1"/>
    </xf>
    <xf numFmtId="0" fontId="1" fillId="0" borderId="7" xfId="2" applyBorder="1" applyProtection="1">
      <protection hidden="1"/>
    </xf>
    <xf numFmtId="0" fontId="1" fillId="0" borderId="2" xfId="2" applyBorder="1" applyProtection="1">
      <protection hidden="1"/>
    </xf>
    <xf numFmtId="0" fontId="1" fillId="0" borderId="1" xfId="2" applyBorder="1" applyProtection="1">
      <protection hidden="1"/>
    </xf>
    <xf numFmtId="0" fontId="1" fillId="0" borderId="4" xfId="2" applyBorder="1" applyProtection="1">
      <protection hidden="1"/>
    </xf>
    <xf numFmtId="0" fontId="29" fillId="0" borderId="0" xfId="2" applyFont="1" applyBorder="1" applyAlignment="1" applyProtection="1">
      <alignment horizontal="right" vertical="center"/>
      <protection hidden="1"/>
    </xf>
    <xf numFmtId="0" fontId="0" fillId="0" borderId="0" xfId="0" applyBorder="1" applyAlignment="1" applyProtection="1">
      <protection hidden="1"/>
    </xf>
    <xf numFmtId="0" fontId="30" fillId="0" borderId="0" xfId="2" applyFont="1" applyBorder="1" applyAlignment="1" applyProtection="1">
      <alignment horizontal="left"/>
      <protection hidden="1"/>
    </xf>
    <xf numFmtId="0" fontId="1" fillId="0" borderId="5" xfId="2" applyBorder="1" applyProtection="1">
      <protection hidden="1"/>
    </xf>
    <xf numFmtId="0" fontId="3" fillId="0" borderId="0" xfId="2" applyFont="1" applyBorder="1" applyAlignment="1" applyProtection="1">
      <alignment horizontal="centerContinuous" vertical="center"/>
      <protection hidden="1"/>
    </xf>
    <xf numFmtId="0" fontId="1" fillId="2" borderId="0" xfId="2" applyFill="1" applyBorder="1" applyAlignment="1" applyProtection="1">
      <alignment horizontal="left" vertical="center" indent="1"/>
      <protection hidden="1"/>
    </xf>
    <xf numFmtId="0" fontId="1" fillId="2" borderId="0" xfId="2" applyFill="1" applyBorder="1" applyProtection="1">
      <protection hidden="1"/>
    </xf>
    <xf numFmtId="0" fontId="1" fillId="2" borderId="0" xfId="2" applyFill="1" applyBorder="1" applyAlignment="1" applyProtection="1">
      <alignment horizontal="left"/>
      <protection hidden="1"/>
    </xf>
    <xf numFmtId="0" fontId="3" fillId="0" borderId="0" xfId="2" applyFont="1" applyBorder="1" applyAlignment="1" applyProtection="1">
      <alignment horizontal="right" vertical="center"/>
      <protection hidden="1"/>
    </xf>
    <xf numFmtId="0" fontId="31" fillId="0" borderId="5" xfId="2" applyFont="1" applyBorder="1" applyProtection="1">
      <protection hidden="1"/>
    </xf>
    <xf numFmtId="0" fontId="31" fillId="0" borderId="5" xfId="2" applyFont="1" applyBorder="1" applyAlignment="1" applyProtection="1">
      <alignment horizontal="fill"/>
      <protection hidden="1"/>
    </xf>
    <xf numFmtId="0" fontId="32" fillId="0" borderId="0" xfId="2" applyFont="1" applyBorder="1" applyAlignment="1" applyProtection="1">
      <alignment horizontal="center"/>
      <protection hidden="1"/>
    </xf>
    <xf numFmtId="0" fontId="32" fillId="0" borderId="5" xfId="2" applyFont="1" applyBorder="1" applyAlignment="1" applyProtection="1">
      <alignment horizontal="center"/>
      <protection hidden="1"/>
    </xf>
    <xf numFmtId="0" fontId="1" fillId="0" borderId="6" xfId="2" applyBorder="1" applyProtection="1">
      <protection hidden="1"/>
    </xf>
    <xf numFmtId="0" fontId="3" fillId="0" borderId="7" xfId="2" applyFont="1" applyBorder="1" applyAlignment="1" applyProtection="1">
      <alignment horizontal="left" vertical="center"/>
      <protection hidden="1"/>
    </xf>
    <xf numFmtId="0" fontId="3" fillId="0" borderId="7" xfId="2" applyFont="1" applyBorder="1" applyAlignment="1" applyProtection="1">
      <alignment horizontal="centerContinuous" wrapText="1"/>
      <protection hidden="1"/>
    </xf>
    <xf numFmtId="0" fontId="3" fillId="0" borderId="7" xfId="2" applyFont="1" applyBorder="1" applyAlignment="1" applyProtection="1">
      <alignment horizontal="centerContinuous"/>
      <protection hidden="1"/>
    </xf>
    <xf numFmtId="0" fontId="25" fillId="0" borderId="0" xfId="0" applyFont="1" applyAlignment="1" applyProtection="1">
      <alignment horizontal="right"/>
      <protection hidden="1"/>
    </xf>
    <xf numFmtId="0" fontId="5" fillId="0" borderId="0" xfId="0" applyFont="1" applyAlignment="1" applyProtection="1">
      <alignment horizontal="right" vertical="center"/>
      <protection hidden="1"/>
    </xf>
    <xf numFmtId="0" fontId="5" fillId="0" borderId="0" xfId="0" applyFont="1" applyFill="1" applyBorder="1" applyProtection="1">
      <protection hidden="1"/>
    </xf>
    <xf numFmtId="0" fontId="1" fillId="0" borderId="20" xfId="2" applyFont="1" applyFill="1" applyBorder="1" applyAlignment="1" applyProtection="1">
      <alignment horizontal="center" vertical="center"/>
      <protection hidden="1"/>
    </xf>
    <xf numFmtId="0" fontId="19" fillId="0" borderId="2" xfId="0" applyFont="1" applyBorder="1" applyAlignment="1" applyProtection="1">
      <protection hidden="1"/>
    </xf>
    <xf numFmtId="0" fontId="6" fillId="0" borderId="0" xfId="0" applyFont="1" applyBorder="1" applyAlignment="1" applyProtection="1">
      <protection hidden="1"/>
    </xf>
    <xf numFmtId="0" fontId="23" fillId="0" borderId="0" xfId="0" applyFont="1" applyBorder="1" applyAlignment="1" applyProtection="1">
      <alignment horizontal="center" vertical="center"/>
      <protection locked="0"/>
    </xf>
    <xf numFmtId="0" fontId="5" fillId="0" borderId="5" xfId="0" applyFont="1" applyBorder="1" applyProtection="1">
      <protection hidden="1"/>
    </xf>
    <xf numFmtId="0" fontId="15" fillId="0" borderId="0" xfId="0" applyFont="1" applyFill="1" applyBorder="1" applyProtection="1">
      <protection hidden="1"/>
    </xf>
    <xf numFmtId="0" fontId="15" fillId="0" borderId="0" xfId="0" applyFont="1" applyFill="1" applyBorder="1" applyAlignment="1" applyProtection="1">
      <alignment horizontal="left"/>
      <protection hidden="1"/>
    </xf>
    <xf numFmtId="0" fontId="25" fillId="0" borderId="5" xfId="0" applyFont="1" applyBorder="1" applyAlignment="1" applyProtection="1">
      <alignment horizontal="left"/>
      <protection hidden="1"/>
    </xf>
    <xf numFmtId="0" fontId="5" fillId="0" borderId="25" xfId="0" applyFont="1" applyBorder="1" applyAlignment="1" applyProtection="1">
      <alignment horizontal="left" vertical="center"/>
      <protection hidden="1"/>
    </xf>
    <xf numFmtId="0" fontId="9" fillId="0" borderId="0" xfId="0" applyFont="1" applyBorder="1" applyAlignment="1" applyProtection="1">
      <alignment horizontal="centerContinuous" vertical="center"/>
      <protection hidden="1"/>
    </xf>
    <xf numFmtId="0" fontId="9" fillId="0" borderId="0" xfId="0" applyFont="1" applyFill="1" applyBorder="1" applyAlignment="1" applyProtection="1">
      <alignment horizontal="centerContinuous" vertical="center"/>
      <protection hidden="1"/>
    </xf>
    <xf numFmtId="0" fontId="11" fillId="0" borderId="0" xfId="0" applyFont="1" applyFill="1" applyBorder="1" applyAlignment="1" applyProtection="1">
      <alignment horizontal="centerContinuous" vertical="center"/>
      <protection hidden="1"/>
    </xf>
    <xf numFmtId="0" fontId="11" fillId="0" borderId="0" xfId="0" applyFont="1" applyFill="1" applyBorder="1" applyAlignment="1" applyProtection="1">
      <alignment horizontal="right"/>
      <protection hidden="1"/>
    </xf>
    <xf numFmtId="0" fontId="5" fillId="0" borderId="7" xfId="0" applyFont="1" applyBorder="1" applyProtection="1">
      <protection hidden="1"/>
    </xf>
    <xf numFmtId="0" fontId="5" fillId="0" borderId="7" xfId="0" applyFont="1" applyBorder="1" applyAlignment="1" applyProtection="1">
      <alignment horizontal="left"/>
      <protection hidden="1"/>
    </xf>
    <xf numFmtId="0" fontId="5" fillId="0" borderId="8" xfId="0" applyFont="1" applyBorder="1" applyProtection="1">
      <protection hidden="1"/>
    </xf>
    <xf numFmtId="0" fontId="5" fillId="0" borderId="1" xfId="0" applyFont="1" applyBorder="1" applyProtection="1">
      <protection hidden="1"/>
    </xf>
    <xf numFmtId="0" fontId="5" fillId="0" borderId="4" xfId="0" applyFont="1" applyBorder="1" applyProtection="1">
      <protection hidden="1"/>
    </xf>
    <xf numFmtId="0" fontId="5" fillId="0" borderId="0" xfId="0" quotePrefix="1" applyFont="1" applyBorder="1" applyAlignment="1" applyProtection="1">
      <alignment horizontal="left" vertical="center"/>
      <protection hidden="1"/>
    </xf>
    <xf numFmtId="0" fontId="5" fillId="0" borderId="6" xfId="0" applyFont="1" applyBorder="1" applyProtection="1">
      <protection hidden="1"/>
    </xf>
    <xf numFmtId="0" fontId="5" fillId="0" borderId="63" xfId="0" applyFont="1" applyBorder="1" applyProtection="1">
      <protection hidden="1"/>
    </xf>
    <xf numFmtId="0" fontId="1" fillId="0" borderId="23" xfId="2" applyFont="1" applyFill="1" applyBorder="1" applyAlignment="1" applyProtection="1">
      <alignment horizontal="center" vertical="center"/>
      <protection hidden="1"/>
    </xf>
    <xf numFmtId="0" fontId="1" fillId="0" borderId="31" xfId="2" applyFont="1" applyFill="1" applyBorder="1" applyAlignment="1" applyProtection="1">
      <alignment horizontal="center" vertical="center"/>
      <protection hidden="1"/>
    </xf>
    <xf numFmtId="0" fontId="33" fillId="5" borderId="60" xfId="2" applyFont="1" applyFill="1" applyBorder="1" applyAlignment="1" applyProtection="1">
      <alignment horizontal="center" vertical="center"/>
      <protection hidden="1"/>
    </xf>
    <xf numFmtId="1" fontId="2" fillId="0" borderId="7" xfId="2" applyNumberFormat="1" applyFont="1" applyBorder="1" applyAlignment="1" applyProtection="1">
      <alignment horizontal="center" vertical="center"/>
      <protection hidden="1"/>
    </xf>
    <xf numFmtId="0" fontId="2" fillId="0" borderId="7" xfId="2" applyFont="1" applyBorder="1" applyAlignment="1" applyProtection="1">
      <alignment horizontal="center" vertical="center"/>
      <protection hidden="1"/>
    </xf>
    <xf numFmtId="0" fontId="2" fillId="0" borderId="63" xfId="2" applyFont="1" applyBorder="1" applyAlignment="1" applyProtection="1">
      <alignment horizontal="center" vertical="center"/>
      <protection hidden="1"/>
    </xf>
    <xf numFmtId="0" fontId="2" fillId="0" borderId="2" xfId="2" applyFont="1" applyBorder="1" applyAlignment="1" applyProtection="1">
      <alignment horizontal="center" vertical="center"/>
      <protection hidden="1"/>
    </xf>
    <xf numFmtId="0" fontId="29" fillId="10" borderId="21" xfId="2" applyFont="1" applyFill="1" applyBorder="1" applyAlignment="1" applyProtection="1">
      <alignment horizontal="center" vertical="center"/>
      <protection hidden="1"/>
    </xf>
    <xf numFmtId="0" fontId="35" fillId="11" borderId="16" xfId="0" applyFont="1" applyFill="1" applyBorder="1" applyAlignment="1" applyProtection="1">
      <alignment horizontal="center" vertical="center"/>
      <protection locked="0"/>
    </xf>
    <xf numFmtId="0" fontId="35" fillId="11" borderId="36" xfId="0" applyFont="1" applyFill="1" applyBorder="1" applyAlignment="1" applyProtection="1">
      <alignment horizontal="center" vertical="center"/>
      <protection locked="0"/>
    </xf>
    <xf numFmtId="0" fontId="35" fillId="11" borderId="17" xfId="0" applyFont="1" applyFill="1" applyBorder="1" applyAlignment="1" applyProtection="1">
      <alignment horizontal="center" vertical="center"/>
      <protection locked="0"/>
    </xf>
    <xf numFmtId="0" fontId="35" fillId="11" borderId="0" xfId="0" applyFont="1" applyFill="1" applyBorder="1" applyAlignment="1" applyProtection="1">
      <alignment horizontal="center" vertical="center"/>
      <protection locked="0"/>
    </xf>
    <xf numFmtId="0" fontId="35" fillId="11" borderId="37" xfId="0" applyFont="1" applyFill="1" applyBorder="1" applyAlignment="1" applyProtection="1">
      <alignment horizontal="center" vertical="center"/>
      <protection locked="0"/>
    </xf>
    <xf numFmtId="0" fontId="35" fillId="11" borderId="10" xfId="0" applyFont="1" applyFill="1" applyBorder="1" applyAlignment="1" applyProtection="1">
      <alignment horizontal="center" vertical="center"/>
      <protection locked="0"/>
    </xf>
    <xf numFmtId="0" fontId="35" fillId="10" borderId="2" xfId="0" applyFont="1" applyFill="1" applyBorder="1" applyAlignment="1" applyProtection="1">
      <alignment horizontal="center" vertical="center"/>
      <protection locked="0"/>
    </xf>
    <xf numFmtId="0" fontId="35" fillId="10" borderId="38" xfId="0" applyFont="1" applyFill="1" applyBorder="1" applyAlignment="1" applyProtection="1">
      <alignment horizontal="center" vertical="center"/>
      <protection locked="0"/>
    </xf>
    <xf numFmtId="0" fontId="35" fillId="10" borderId="11" xfId="0" applyFont="1" applyFill="1" applyBorder="1" applyAlignment="1" applyProtection="1">
      <alignment horizontal="center" vertical="center"/>
      <protection locked="0"/>
    </xf>
    <xf numFmtId="0" fontId="35" fillId="10" borderId="0" xfId="0" applyFont="1" applyFill="1" applyBorder="1" applyAlignment="1" applyProtection="1">
      <alignment horizontal="center" vertical="center"/>
      <protection locked="0"/>
    </xf>
    <xf numFmtId="0" fontId="35" fillId="10" borderId="37" xfId="0" applyFont="1" applyFill="1" applyBorder="1" applyAlignment="1" applyProtection="1">
      <alignment horizontal="center" vertical="center"/>
      <protection locked="0"/>
    </xf>
    <xf numFmtId="0" fontId="35" fillId="10" borderId="10" xfId="0" applyFont="1" applyFill="1" applyBorder="1" applyAlignment="1" applyProtection="1">
      <alignment horizontal="center" vertical="center"/>
      <protection locked="0"/>
    </xf>
    <xf numFmtId="0" fontId="35" fillId="11" borderId="12" xfId="0" applyFont="1" applyFill="1" applyBorder="1" applyAlignment="1" applyProtection="1">
      <alignment horizontal="center" vertical="center"/>
      <protection locked="0"/>
    </xf>
    <xf numFmtId="0" fontId="35" fillId="11" borderId="39" xfId="0" applyFont="1" applyFill="1" applyBorder="1" applyAlignment="1" applyProtection="1">
      <alignment horizontal="center" vertical="center"/>
      <protection locked="0"/>
    </xf>
    <xf numFmtId="0" fontId="35" fillId="11" borderId="13" xfId="0" applyFont="1" applyFill="1" applyBorder="1" applyAlignment="1" applyProtection="1">
      <alignment horizontal="center" vertical="center"/>
      <protection locked="0"/>
    </xf>
    <xf numFmtId="0" fontId="35" fillId="10" borderId="14" xfId="0" applyFont="1" applyFill="1" applyBorder="1" applyAlignment="1" applyProtection="1">
      <alignment horizontal="center" vertical="center"/>
      <protection locked="0"/>
    </xf>
    <xf numFmtId="0" fontId="35" fillId="10" borderId="40" xfId="0" applyFont="1" applyFill="1" applyBorder="1" applyAlignment="1" applyProtection="1">
      <alignment horizontal="center" vertical="center"/>
      <protection locked="0"/>
    </xf>
    <xf numFmtId="0" fontId="35" fillId="10" borderId="15" xfId="0" applyFont="1" applyFill="1" applyBorder="1" applyAlignment="1" applyProtection="1">
      <alignment horizontal="center" vertical="center"/>
      <protection locked="0"/>
    </xf>
    <xf numFmtId="0" fontId="35" fillId="10" borderId="18" xfId="0" applyFont="1" applyFill="1" applyBorder="1" applyAlignment="1" applyProtection="1">
      <alignment horizontal="center" vertical="center"/>
      <protection locked="0"/>
    </xf>
    <xf numFmtId="0" fontId="35" fillId="10" borderId="41" xfId="0" applyFont="1" applyFill="1" applyBorder="1" applyAlignment="1" applyProtection="1">
      <alignment horizontal="center" vertical="center"/>
      <protection locked="0"/>
    </xf>
    <xf numFmtId="0" fontId="35" fillId="10" borderId="19" xfId="0" applyFont="1" applyFill="1" applyBorder="1" applyAlignment="1" applyProtection="1">
      <alignment horizontal="center" vertical="center"/>
      <protection locked="0"/>
    </xf>
    <xf numFmtId="0" fontId="1" fillId="0" borderId="24" xfId="2" applyFont="1" applyFill="1" applyBorder="1" applyAlignment="1" applyProtection="1">
      <alignment horizontal="center" vertical="center"/>
      <protection hidden="1"/>
    </xf>
    <xf numFmtId="0" fontId="1" fillId="10" borderId="69" xfId="2" applyFont="1" applyFill="1" applyBorder="1" applyAlignment="1" applyProtection="1">
      <alignment horizontal="center" vertical="center"/>
      <protection locked="0" hidden="1"/>
    </xf>
    <xf numFmtId="0" fontId="1" fillId="10" borderId="26" xfId="2" applyFont="1" applyFill="1" applyBorder="1" applyAlignment="1" applyProtection="1">
      <alignment horizontal="center" vertical="center"/>
      <protection locked="0" hidden="1"/>
    </xf>
    <xf numFmtId="0" fontId="1" fillId="10" borderId="75" xfId="2" applyFont="1" applyFill="1" applyBorder="1" applyAlignment="1" applyProtection="1">
      <alignment horizontal="center" vertical="center"/>
      <protection locked="0" hidden="1"/>
    </xf>
    <xf numFmtId="0" fontId="1" fillId="10" borderId="57" xfId="2" applyFont="1" applyFill="1" applyBorder="1" applyAlignment="1" applyProtection="1">
      <alignment horizontal="center" vertical="center"/>
      <protection locked="0" hidden="1"/>
    </xf>
    <xf numFmtId="0" fontId="5" fillId="5" borderId="35" xfId="0" applyFont="1" applyFill="1" applyBorder="1" applyAlignment="1" applyProtection="1">
      <alignment horizontal="center" vertical="center"/>
      <protection hidden="1"/>
    </xf>
    <xf numFmtId="0" fontId="5" fillId="5" borderId="19" xfId="0" applyFont="1" applyFill="1" applyBorder="1" applyAlignment="1" applyProtection="1">
      <alignment horizontal="center" vertical="center"/>
      <protection hidden="1"/>
    </xf>
    <xf numFmtId="0" fontId="10" fillId="5" borderId="72" xfId="0" applyFont="1" applyFill="1" applyBorder="1" applyAlignment="1" applyProtection="1">
      <alignment horizontal="center" vertical="center"/>
      <protection hidden="1"/>
    </xf>
    <xf numFmtId="0" fontId="5" fillId="0" borderId="2" xfId="0" applyFont="1" applyBorder="1" applyAlignment="1" applyProtection="1">
      <alignment horizontal="left"/>
      <protection hidden="1"/>
    </xf>
    <xf numFmtId="0" fontId="9" fillId="0" borderId="7" xfId="0" applyFont="1" applyBorder="1" applyProtection="1">
      <protection hidden="1"/>
    </xf>
    <xf numFmtId="0" fontId="9" fillId="0" borderId="7" xfId="0" applyFont="1" applyBorder="1" applyAlignment="1" applyProtection="1">
      <alignment horizontal="left"/>
      <protection hidden="1"/>
    </xf>
    <xf numFmtId="0" fontId="9" fillId="0" borderId="63" xfId="0" applyFont="1" applyBorder="1" applyProtection="1">
      <protection hidden="1"/>
    </xf>
    <xf numFmtId="1" fontId="41" fillId="0" borderId="0" xfId="2" applyNumberFormat="1" applyFont="1" applyFill="1" applyBorder="1" applyAlignment="1" applyProtection="1">
      <alignment horizontal="center" vertical="center"/>
      <protection hidden="1"/>
    </xf>
    <xf numFmtId="0" fontId="2" fillId="0" borderId="0" xfId="2" applyFont="1" applyFill="1" applyBorder="1" applyAlignment="1" applyProtection="1">
      <alignment horizontal="center" vertical="center" shrinkToFit="1"/>
      <protection hidden="1"/>
    </xf>
    <xf numFmtId="0" fontId="2" fillId="0" borderId="0" xfId="2" applyFont="1" applyFill="1" applyBorder="1" applyAlignment="1" applyProtection="1">
      <alignment horizontal="center" vertical="center"/>
      <protection locked="0"/>
    </xf>
    <xf numFmtId="1" fontId="33" fillId="0" borderId="0" xfId="2" applyNumberFormat="1" applyFont="1" applyFill="1" applyBorder="1" applyAlignment="1" applyProtection="1">
      <alignment horizontal="center" vertical="center"/>
      <protection hidden="1"/>
    </xf>
    <xf numFmtId="0" fontId="5" fillId="0" borderId="0" xfId="0" applyFont="1" applyAlignment="1" applyProtection="1">
      <alignment horizontal="center" wrapText="1"/>
      <protection hidden="1"/>
    </xf>
    <xf numFmtId="0" fontId="3" fillId="0" borderId="0" xfId="2" applyFont="1" applyFill="1" applyBorder="1" applyAlignment="1" applyProtection="1">
      <alignment horizontal="center" vertical="center"/>
      <protection hidden="1"/>
    </xf>
    <xf numFmtId="0" fontId="29" fillId="0" borderId="0" xfId="2" applyFont="1" applyBorder="1" applyProtection="1">
      <protection hidden="1"/>
    </xf>
    <xf numFmtId="0" fontId="1" fillId="0" borderId="75" xfId="2" applyBorder="1" applyProtection="1">
      <protection hidden="1"/>
    </xf>
    <xf numFmtId="0" fontId="1" fillId="0" borderId="84" xfId="2" applyBorder="1" applyProtection="1">
      <protection hidden="1"/>
    </xf>
    <xf numFmtId="0" fontId="1" fillId="0" borderId="3" xfId="2" applyFill="1" applyBorder="1" applyProtection="1">
      <protection hidden="1"/>
    </xf>
    <xf numFmtId="0" fontId="1" fillId="0" borderId="8" xfId="2" applyFill="1" applyBorder="1" applyProtection="1">
      <protection hidden="1"/>
    </xf>
    <xf numFmtId="0" fontId="10" fillId="0" borderId="0" xfId="0" applyFont="1" applyFill="1" applyBorder="1" applyAlignment="1" applyProtection="1">
      <alignment horizontal="center" vertical="center"/>
      <protection locked="0" hidden="1"/>
    </xf>
    <xf numFmtId="0" fontId="5" fillId="0" borderId="2" xfId="0" applyFont="1" applyBorder="1" applyAlignment="1" applyProtection="1">
      <alignment horizontal="right"/>
      <protection hidden="1"/>
    </xf>
    <xf numFmtId="0" fontId="0" fillId="0" borderId="0" xfId="0"/>
    <xf numFmtId="0" fontId="0" fillId="0" borderId="0" xfId="0"/>
    <xf numFmtId="0" fontId="47" fillId="0" borderId="0" xfId="0" applyFont="1" applyAlignment="1">
      <alignment horizontal="right" vertical="center"/>
    </xf>
    <xf numFmtId="0" fontId="45" fillId="0" borderId="0" xfId="0" applyFont="1"/>
    <xf numFmtId="20" fontId="48" fillId="0" borderId="8" xfId="0" applyNumberFormat="1" applyFont="1" applyBorder="1"/>
    <xf numFmtId="20" fontId="48" fillId="0" borderId="83" xfId="0" applyNumberFormat="1" applyFont="1" applyBorder="1"/>
    <xf numFmtId="20" fontId="48" fillId="0" borderId="87" xfId="0" applyNumberFormat="1" applyFont="1" applyBorder="1"/>
    <xf numFmtId="0" fontId="0" fillId="0" borderId="18" xfId="0" applyBorder="1"/>
    <xf numFmtId="0" fontId="45" fillId="5" borderId="61" xfId="0" applyFont="1" applyFill="1" applyBorder="1" applyAlignment="1">
      <alignment horizontal="center" vertical="center"/>
    </xf>
    <xf numFmtId="0" fontId="0" fillId="0" borderId="21" xfId="0" applyBorder="1" applyAlignment="1">
      <alignment horizontal="center" vertical="center"/>
    </xf>
    <xf numFmtId="0" fontId="0" fillId="0" borderId="86" xfId="0" applyBorder="1" applyAlignment="1">
      <alignment horizontal="center" vertical="center"/>
    </xf>
    <xf numFmtId="0" fontId="45" fillId="5" borderId="68" xfId="0" applyFont="1" applyFill="1" applyBorder="1" applyAlignment="1">
      <alignment horizontal="center" vertical="center"/>
    </xf>
    <xf numFmtId="0" fontId="45" fillId="5" borderId="62" xfId="0" applyFont="1" applyFill="1" applyBorder="1" applyAlignment="1">
      <alignment horizontal="center" vertical="center"/>
    </xf>
    <xf numFmtId="0" fontId="0" fillId="0" borderId="82" xfId="0" applyBorder="1" applyAlignment="1">
      <alignment horizontal="center" vertical="center"/>
    </xf>
    <xf numFmtId="0" fontId="0" fillId="0" borderId="93" xfId="0" applyBorder="1" applyAlignment="1">
      <alignment horizontal="center" vertical="center"/>
    </xf>
    <xf numFmtId="0" fontId="48" fillId="5" borderId="63" xfId="0" applyFont="1" applyFill="1" applyBorder="1"/>
    <xf numFmtId="0" fontId="0" fillId="5" borderId="63" xfId="0" applyFill="1" applyBorder="1" applyAlignment="1">
      <alignment horizontal="center" vertical="center"/>
    </xf>
    <xf numFmtId="0" fontId="0" fillId="15" borderId="9" xfId="0" applyFill="1" applyBorder="1" applyAlignment="1">
      <alignment horizontal="center" vertical="center"/>
    </xf>
    <xf numFmtId="0" fontId="0" fillId="15" borderId="21" xfId="0" applyFill="1" applyBorder="1" applyAlignment="1">
      <alignment horizontal="center" vertical="center"/>
    </xf>
    <xf numFmtId="0" fontId="0" fillId="15" borderId="0" xfId="0" applyFill="1" applyAlignment="1">
      <alignment horizontal="center" vertical="center"/>
    </xf>
    <xf numFmtId="0" fontId="0" fillId="9" borderId="9" xfId="0" applyFill="1" applyBorder="1" applyAlignment="1">
      <alignment horizontal="center" vertical="center"/>
    </xf>
    <xf numFmtId="0" fontId="0" fillId="9" borderId="92" xfId="0" applyFill="1" applyBorder="1" applyAlignment="1">
      <alignment horizontal="center" vertical="center"/>
    </xf>
    <xf numFmtId="0" fontId="0" fillId="9" borderId="21" xfId="0" applyFill="1" applyBorder="1" applyAlignment="1">
      <alignment horizontal="center" vertical="center"/>
    </xf>
    <xf numFmtId="0" fontId="0" fillId="9" borderId="0" xfId="0" applyFill="1" applyAlignment="1">
      <alignment horizontal="center" vertical="center"/>
    </xf>
    <xf numFmtId="0" fontId="0" fillId="16"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6" borderId="21" xfId="0" applyFill="1" applyBorder="1" applyAlignment="1">
      <alignment horizontal="center" vertical="center"/>
    </xf>
    <xf numFmtId="0" fontId="0" fillId="17" borderId="21" xfId="0" applyFill="1" applyBorder="1" applyAlignment="1">
      <alignment horizontal="center" vertical="center"/>
    </xf>
    <xf numFmtId="0" fontId="0" fillId="18" borderId="21" xfId="0" applyFill="1" applyBorder="1" applyAlignment="1">
      <alignment horizontal="center" vertical="center"/>
    </xf>
    <xf numFmtId="0" fontId="0" fillId="15" borderId="82" xfId="0" applyFill="1" applyBorder="1" applyAlignment="1">
      <alignment horizontal="center" vertical="center"/>
    </xf>
    <xf numFmtId="0" fontId="0" fillId="9" borderId="82" xfId="0" applyFill="1" applyBorder="1" applyAlignment="1">
      <alignment horizontal="center" vertical="center"/>
    </xf>
    <xf numFmtId="0" fontId="0" fillId="16" borderId="82" xfId="0" applyFill="1" applyBorder="1" applyAlignment="1">
      <alignment horizontal="center" vertical="center"/>
    </xf>
    <xf numFmtId="0" fontId="0" fillId="18" borderId="82" xfId="0" applyFill="1" applyBorder="1" applyAlignment="1">
      <alignment horizontal="center" vertical="center"/>
    </xf>
    <xf numFmtId="0" fontId="0" fillId="17" borderId="82" xfId="0" applyFill="1" applyBorder="1" applyAlignment="1">
      <alignment horizontal="center" vertical="center"/>
    </xf>
    <xf numFmtId="0" fontId="47" fillId="0" borderId="14" xfId="0" applyFont="1" applyBorder="1" applyAlignment="1">
      <alignment horizontal="right" vertical="center"/>
    </xf>
    <xf numFmtId="0" fontId="28" fillId="14" borderId="90" xfId="0" applyFont="1" applyFill="1" applyBorder="1" applyAlignment="1">
      <alignment horizontal="center" vertical="center" wrapText="1"/>
    </xf>
    <xf numFmtId="0" fontId="28" fillId="14" borderId="95" xfId="0" applyFont="1" applyFill="1" applyBorder="1" applyAlignment="1">
      <alignment horizontal="center" vertical="center" wrapText="1"/>
    </xf>
    <xf numFmtId="0" fontId="0" fillId="0" borderId="94" xfId="0" applyBorder="1" applyAlignment="1">
      <alignment horizontal="center" vertical="center" wrapText="1"/>
    </xf>
    <xf numFmtId="0" fontId="0" fillId="0" borderId="90" xfId="0" applyBorder="1" applyAlignment="1">
      <alignment horizontal="center" vertical="center" wrapText="1"/>
    </xf>
    <xf numFmtId="0" fontId="51" fillId="0" borderId="0" xfId="0" applyFont="1" applyFill="1" applyBorder="1" applyAlignment="1">
      <alignment horizontal="right" vertical="center"/>
    </xf>
    <xf numFmtId="0" fontId="0" fillId="0" borderId="0" xfId="0" applyAlignment="1">
      <alignment horizontal="left" vertical="center" wrapText="1"/>
    </xf>
    <xf numFmtId="0" fontId="45" fillId="0" borderId="0" xfId="0" applyFont="1" applyAlignment="1">
      <alignment horizontal="left" vertical="center" wrapText="1"/>
    </xf>
    <xf numFmtId="0" fontId="28" fillId="14" borderId="94" xfId="0" applyFont="1" applyFill="1" applyBorder="1" applyAlignment="1" applyProtection="1">
      <alignment horizontal="center" vertical="center"/>
      <protection hidden="1"/>
    </xf>
    <xf numFmtId="0" fontId="28" fillId="14" borderId="90" xfId="0" applyFont="1" applyFill="1" applyBorder="1" applyAlignment="1" applyProtection="1">
      <alignment horizontal="center" vertical="center"/>
      <protection hidden="1"/>
    </xf>
    <xf numFmtId="0" fontId="28" fillId="14" borderId="95" xfId="0" applyFont="1" applyFill="1" applyBorder="1" applyAlignment="1" applyProtection="1">
      <alignment horizontal="center" vertical="center"/>
      <protection hidden="1"/>
    </xf>
    <xf numFmtId="0" fontId="0" fillId="0" borderId="94" xfId="0" applyBorder="1" applyAlignment="1" applyProtection="1">
      <alignment horizontal="center" vertical="center"/>
      <protection hidden="1"/>
    </xf>
    <xf numFmtId="0" fontId="0" fillId="0" borderId="90" xfId="0" applyBorder="1" applyAlignment="1" applyProtection="1">
      <alignment horizontal="center" vertical="center"/>
      <protection hidden="1"/>
    </xf>
    <xf numFmtId="0" fontId="0" fillId="19" borderId="90" xfId="0" applyFill="1" applyBorder="1" applyAlignment="1" applyProtection="1">
      <alignment horizontal="center" vertical="center"/>
      <protection hidden="1"/>
    </xf>
    <xf numFmtId="0" fontId="0" fillId="19" borderId="91" xfId="0" applyFill="1" applyBorder="1" applyAlignment="1" applyProtection="1">
      <alignment horizontal="center" vertical="center"/>
      <protection hidden="1"/>
    </xf>
    <xf numFmtId="0" fontId="0" fillId="0" borderId="91" xfId="0" applyBorder="1" applyAlignment="1" applyProtection="1">
      <alignment horizontal="center" vertical="center"/>
      <protection hidden="1"/>
    </xf>
    <xf numFmtId="0" fontId="46" fillId="5" borderId="88" xfId="0" applyFont="1" applyFill="1" applyBorder="1" applyAlignment="1" applyProtection="1">
      <alignment horizontal="center" vertical="center"/>
      <protection locked="0"/>
    </xf>
    <xf numFmtId="0" fontId="47" fillId="0" borderId="0" xfId="0" applyFont="1" applyAlignment="1" applyProtection="1">
      <alignment horizontal="right" vertical="center"/>
      <protection locked="0"/>
    </xf>
    <xf numFmtId="0" fontId="47" fillId="0" borderId="14" xfId="0" applyFont="1" applyBorder="1" applyAlignment="1" applyProtection="1">
      <alignment horizontal="right" vertical="center"/>
      <protection locked="0"/>
    </xf>
    <xf numFmtId="0" fontId="51" fillId="0" borderId="0" xfId="0" applyFont="1" applyFill="1" applyBorder="1" applyAlignment="1" applyProtection="1">
      <alignment horizontal="right" vertical="center"/>
      <protection locked="0"/>
    </xf>
    <xf numFmtId="0" fontId="0" fillId="0" borderId="0" xfId="0"/>
    <xf numFmtId="0" fontId="1" fillId="0" borderId="16" xfId="2" applyFont="1" applyFill="1" applyBorder="1" applyAlignment="1" applyProtection="1">
      <alignment horizontal="center" vertical="center"/>
      <protection locked="0" hidden="1"/>
    </xf>
    <xf numFmtId="0" fontId="0" fillId="19" borderId="96" xfId="0" applyFill="1" applyBorder="1" applyAlignment="1" applyProtection="1">
      <alignment horizontal="center" vertical="center"/>
      <protection hidden="1"/>
    </xf>
    <xf numFmtId="0" fontId="0" fillId="0" borderId="96" xfId="0" applyBorder="1" applyAlignment="1" applyProtection="1">
      <alignment horizontal="center" vertical="center"/>
      <protection hidden="1"/>
    </xf>
    <xf numFmtId="0" fontId="0" fillId="0" borderId="90" xfId="0" applyFill="1" applyBorder="1" applyAlignment="1">
      <alignment horizontal="center" vertical="center" wrapText="1"/>
    </xf>
    <xf numFmtId="0" fontId="0" fillId="0" borderId="91" xfId="0" applyFill="1" applyBorder="1" applyAlignment="1">
      <alignment horizontal="center" vertical="center" wrapText="1"/>
    </xf>
    <xf numFmtId="0" fontId="0" fillId="0" borderId="94" xfId="0" applyFill="1" applyBorder="1" applyAlignment="1">
      <alignment horizontal="center" vertical="center" wrapText="1"/>
    </xf>
    <xf numFmtId="0" fontId="0" fillId="0" borderId="90" xfId="0" applyFill="1" applyBorder="1" applyAlignment="1">
      <alignment horizontal="center" vertical="center"/>
    </xf>
    <xf numFmtId="0" fontId="53" fillId="0" borderId="0" xfId="0" applyFont="1" applyAlignment="1">
      <alignment horizontal="left" vertical="center" wrapText="1"/>
    </xf>
    <xf numFmtId="0" fontId="55" fillId="0" borderId="0" xfId="0" applyFont="1" applyAlignment="1">
      <alignment horizontal="center" vertical="center" wrapText="1"/>
    </xf>
    <xf numFmtId="0" fontId="36" fillId="0" borderId="0" xfId="0" applyFont="1" applyAlignment="1">
      <alignment horizontal="center" vertical="center" wrapText="1"/>
    </xf>
    <xf numFmtId="0" fontId="0" fillId="0" borderId="0" xfId="0"/>
    <xf numFmtId="0" fontId="0" fillId="0" borderId="89" xfId="0" applyBorder="1"/>
    <xf numFmtId="0" fontId="0" fillId="0" borderId="96" xfId="0" applyBorder="1"/>
    <xf numFmtId="0" fontId="0" fillId="0" borderId="91" xfId="0" applyBorder="1"/>
    <xf numFmtId="0" fontId="0" fillId="0" borderId="94" xfId="0" applyBorder="1"/>
    <xf numFmtId="0" fontId="0" fillId="0" borderId="0" xfId="0" applyAlignment="1">
      <alignment horizontal="center" wrapText="1"/>
    </xf>
    <xf numFmtId="0" fontId="0" fillId="0" borderId="0" xfId="0" applyAlignment="1">
      <alignment horizontal="center"/>
    </xf>
    <xf numFmtId="0" fontId="58" fillId="5" borderId="88" xfId="0" applyFont="1" applyFill="1" applyBorder="1" applyAlignment="1">
      <alignment horizontal="center" vertical="center"/>
    </xf>
    <xf numFmtId="0" fontId="46" fillId="14" borderId="94" xfId="0" applyFont="1" applyFill="1" applyBorder="1" applyAlignment="1">
      <alignment horizontal="center" vertical="center" wrapText="1"/>
    </xf>
    <xf numFmtId="0" fontId="0" fillId="10" borderId="85" xfId="0" applyFill="1" applyBorder="1" applyAlignment="1">
      <alignment horizontal="center" vertical="center"/>
    </xf>
    <xf numFmtId="0" fontId="0" fillId="20" borderId="85" xfId="0" applyFill="1" applyBorder="1" applyAlignment="1">
      <alignment horizontal="center" vertical="center"/>
    </xf>
    <xf numFmtId="0" fontId="0" fillId="21" borderId="85" xfId="0" applyFill="1" applyBorder="1" applyAlignment="1">
      <alignment horizontal="center" vertical="center"/>
    </xf>
    <xf numFmtId="0" fontId="0" fillId="20" borderId="92" xfId="0" applyFill="1" applyBorder="1" applyAlignment="1">
      <alignment horizontal="center" vertical="center"/>
    </xf>
    <xf numFmtId="0" fontId="0" fillId="21" borderId="21" xfId="0" applyFill="1" applyBorder="1" applyAlignment="1">
      <alignment horizontal="center" vertical="center"/>
    </xf>
    <xf numFmtId="0" fontId="0" fillId="22" borderId="21" xfId="0" applyFill="1" applyBorder="1" applyAlignment="1">
      <alignment horizontal="center" vertical="center"/>
    </xf>
    <xf numFmtId="0" fontId="0" fillId="12" borderId="21" xfId="0" applyFill="1" applyBorder="1" applyAlignment="1">
      <alignment horizontal="center" vertical="center"/>
    </xf>
    <xf numFmtId="0" fontId="0" fillId="21" borderId="82" xfId="0" applyFill="1" applyBorder="1" applyAlignment="1">
      <alignment horizontal="center" vertical="center"/>
    </xf>
    <xf numFmtId="0" fontId="0" fillId="13" borderId="58" xfId="0" applyFill="1" applyBorder="1" applyAlignment="1">
      <alignment horizontal="center" vertical="center"/>
    </xf>
    <xf numFmtId="0" fontId="0" fillId="21" borderId="58" xfId="0" applyFill="1" applyBorder="1" applyAlignment="1">
      <alignment horizontal="center" vertical="center"/>
    </xf>
    <xf numFmtId="0" fontId="0" fillId="8" borderId="58" xfId="0" applyFill="1" applyBorder="1" applyAlignment="1">
      <alignment horizontal="center" vertical="center"/>
    </xf>
    <xf numFmtId="0" fontId="0" fillId="8" borderId="1" xfId="0" applyFill="1" applyBorder="1" applyAlignment="1">
      <alignment horizontal="center" vertical="center"/>
    </xf>
    <xf numFmtId="0" fontId="0" fillId="10" borderId="21" xfId="0" applyFill="1" applyBorder="1" applyAlignment="1">
      <alignment horizontal="center" vertical="center"/>
    </xf>
    <xf numFmtId="0" fontId="0" fillId="20" borderId="21" xfId="0" applyFill="1" applyBorder="1" applyAlignment="1">
      <alignment horizontal="center" vertical="center"/>
    </xf>
    <xf numFmtId="0" fontId="0" fillId="20" borderId="82" xfId="0" applyFill="1" applyBorder="1" applyAlignment="1">
      <alignment horizontal="center" vertical="center"/>
    </xf>
    <xf numFmtId="0" fontId="0" fillId="12" borderId="82" xfId="0" applyFill="1" applyBorder="1" applyAlignment="1">
      <alignment horizontal="center" vertical="center"/>
    </xf>
    <xf numFmtId="0" fontId="0" fillId="8" borderId="21" xfId="0" applyFill="1" applyBorder="1" applyAlignment="1">
      <alignment horizontal="center" vertical="center"/>
    </xf>
    <xf numFmtId="0" fontId="0" fillId="8" borderId="82" xfId="0" applyFill="1" applyBorder="1" applyAlignment="1">
      <alignment horizontal="center" vertical="center"/>
    </xf>
    <xf numFmtId="0" fontId="45" fillId="8" borderId="82" xfId="0" applyFont="1" applyFill="1" applyBorder="1" applyAlignment="1">
      <alignment horizontal="center" vertical="center"/>
    </xf>
    <xf numFmtId="0" fontId="45" fillId="8" borderId="82" xfId="0" applyFont="1" applyFill="1" applyBorder="1" applyAlignment="1">
      <alignment horizontal="center"/>
    </xf>
    <xf numFmtId="0" fontId="45" fillId="5" borderId="82" xfId="0" applyFont="1" applyFill="1" applyBorder="1" applyAlignment="1">
      <alignment horizontal="center"/>
    </xf>
    <xf numFmtId="0" fontId="0" fillId="13" borderId="1" xfId="0" applyFill="1" applyBorder="1" applyAlignment="1">
      <alignment horizontal="center" vertical="center"/>
    </xf>
    <xf numFmtId="0" fontId="0" fillId="8" borderId="86" xfId="0" applyFill="1" applyBorder="1" applyAlignment="1">
      <alignment horizontal="center" vertical="center"/>
    </xf>
    <xf numFmtId="0" fontId="0" fillId="10" borderId="86" xfId="0" applyFill="1" applyBorder="1" applyAlignment="1">
      <alignment horizontal="center" vertical="center"/>
    </xf>
    <xf numFmtId="0" fontId="0" fillId="20" borderId="86" xfId="0" applyFill="1" applyBorder="1" applyAlignment="1">
      <alignment horizontal="center" vertical="center"/>
    </xf>
    <xf numFmtId="0" fontId="0" fillId="8" borderId="93" xfId="0" applyFill="1" applyBorder="1" applyAlignment="1">
      <alignment horizontal="center" vertical="center"/>
    </xf>
    <xf numFmtId="0" fontId="2" fillId="0" borderId="0" xfId="2" applyFont="1" applyFill="1" applyBorder="1" applyAlignment="1" applyProtection="1">
      <alignment horizontal="center" vertical="center"/>
      <protection hidden="1"/>
    </xf>
    <xf numFmtId="0" fontId="39" fillId="8" borderId="0" xfId="2" applyFont="1" applyFill="1" applyBorder="1" applyAlignment="1" applyProtection="1">
      <alignment horizontal="center" vertical="center"/>
    </xf>
    <xf numFmtId="0" fontId="39" fillId="8" borderId="0" xfId="2" applyFont="1" applyFill="1" applyBorder="1" applyAlignment="1" applyProtection="1">
      <alignment horizontal="center" vertical="center" wrapText="1"/>
    </xf>
    <xf numFmtId="1" fontId="3" fillId="8" borderId="0" xfId="2" applyNumberFormat="1" applyFont="1" applyFill="1" applyBorder="1" applyAlignment="1" applyProtection="1">
      <alignment horizontal="center" vertical="center"/>
      <protection hidden="1"/>
    </xf>
    <xf numFmtId="0" fontId="2" fillId="8" borderId="0" xfId="2" applyNumberFormat="1" applyFont="1" applyFill="1" applyBorder="1" applyAlignment="1" applyProtection="1">
      <alignment horizontal="center" vertical="center"/>
      <protection hidden="1"/>
    </xf>
    <xf numFmtId="1" fontId="33" fillId="8" borderId="0" xfId="2" applyNumberFormat="1" applyFont="1" applyFill="1" applyBorder="1" applyAlignment="1" applyProtection="1">
      <alignment horizontal="center" vertical="center"/>
      <protection hidden="1"/>
    </xf>
    <xf numFmtId="1" fontId="41" fillId="8" borderId="0" xfId="2" applyNumberFormat="1" applyFont="1" applyFill="1" applyBorder="1" applyAlignment="1" applyProtection="1">
      <alignment horizontal="center" vertical="center"/>
      <protection hidden="1"/>
    </xf>
    <xf numFmtId="0" fontId="3" fillId="8" borderId="0" xfId="2" applyFont="1" applyFill="1" applyBorder="1" applyAlignment="1" applyProtection="1">
      <alignment horizontal="center" vertical="center"/>
      <protection hidden="1"/>
    </xf>
    <xf numFmtId="0" fontId="2" fillId="8" borderId="0" xfId="2" applyFont="1" applyFill="1" applyBorder="1" applyAlignment="1" applyProtection="1">
      <alignment horizontal="center" vertical="center"/>
      <protection hidden="1"/>
    </xf>
    <xf numFmtId="0" fontId="0" fillId="8" borderId="1" xfId="0" applyFill="1" applyBorder="1" applyAlignment="1" applyProtection="1">
      <protection hidden="1"/>
    </xf>
    <xf numFmtId="0" fontId="0" fillId="8" borderId="3" xfId="0" applyFill="1" applyBorder="1" applyAlignment="1" applyProtection="1">
      <protection hidden="1"/>
    </xf>
    <xf numFmtId="0" fontId="1" fillId="8" borderId="6" xfId="2" applyFill="1" applyBorder="1" applyProtection="1">
      <protection hidden="1"/>
    </xf>
    <xf numFmtId="0" fontId="1" fillId="8" borderId="8" xfId="2" applyFill="1" applyBorder="1" applyProtection="1">
      <protection hidden="1"/>
    </xf>
    <xf numFmtId="0" fontId="0" fillId="0" borderId="99" xfId="0" applyBorder="1"/>
    <xf numFmtId="0" fontId="0" fillId="0" borderId="85" xfId="0" applyBorder="1"/>
    <xf numFmtId="0" fontId="0" fillId="0" borderId="100" xfId="0" applyBorder="1"/>
    <xf numFmtId="0" fontId="0" fillId="0" borderId="81" xfId="0" applyBorder="1"/>
    <xf numFmtId="0" fontId="0" fillId="0" borderId="58" xfId="0" applyBorder="1"/>
    <xf numFmtId="0" fontId="0" fillId="0" borderId="75" xfId="0" applyBorder="1"/>
    <xf numFmtId="0" fontId="0" fillId="0" borderId="101" xfId="0" applyBorder="1"/>
    <xf numFmtId="0" fontId="0" fillId="0" borderId="86" xfId="0" applyBorder="1"/>
    <xf numFmtId="0" fontId="0" fillId="0" borderId="102" xfId="0" applyBorder="1"/>
    <xf numFmtId="0" fontId="0" fillId="0" borderId="55" xfId="0" applyBorder="1"/>
    <xf numFmtId="0" fontId="0" fillId="0" borderId="9" xfId="0" applyBorder="1"/>
    <xf numFmtId="0" fontId="0" fillId="0" borderId="84" xfId="0" applyBorder="1"/>
    <xf numFmtId="0" fontId="5" fillId="0" borderId="0" xfId="0" applyFont="1" applyAlignment="1" applyProtection="1">
      <alignment horizontal="center" vertical="center"/>
      <protection hidden="1"/>
    </xf>
    <xf numFmtId="0" fontId="5" fillId="0" borderId="0" xfId="0" applyFont="1" applyAlignment="1" applyProtection="1">
      <alignment horizontal="right"/>
      <protection hidden="1"/>
    </xf>
    <xf numFmtId="0" fontId="10" fillId="8" borderId="0" xfId="0" applyFont="1" applyFill="1" applyBorder="1" applyAlignment="1" applyProtection="1">
      <alignment vertical="top" wrapText="1"/>
      <protection hidden="1"/>
    </xf>
    <xf numFmtId="0" fontId="42" fillId="0" borderId="0" xfId="0" applyFont="1" applyAlignment="1" applyProtection="1">
      <alignment vertical="top" wrapText="1"/>
      <protection hidden="1"/>
    </xf>
    <xf numFmtId="0" fontId="40" fillId="8" borderId="0" xfId="2" applyFont="1" applyFill="1" applyBorder="1" applyAlignment="1" applyProtection="1">
      <alignment vertical="center"/>
      <protection hidden="1"/>
    </xf>
    <xf numFmtId="0" fontId="36" fillId="8" borderId="0" xfId="2" applyFont="1" applyFill="1" applyBorder="1" applyAlignment="1" applyProtection="1">
      <alignment vertical="center"/>
      <protection hidden="1"/>
    </xf>
    <xf numFmtId="0" fontId="39" fillId="8" borderId="0" xfId="2" applyFont="1" applyFill="1" applyBorder="1" applyAlignment="1" applyProtection="1">
      <alignment vertical="center"/>
    </xf>
    <xf numFmtId="1" fontId="62" fillId="8" borderId="0" xfId="2" applyNumberFormat="1" applyFont="1" applyFill="1" applyBorder="1" applyAlignment="1" applyProtection="1">
      <alignment horizontal="center" vertical="center"/>
      <protection hidden="1"/>
    </xf>
    <xf numFmtId="1" fontId="44" fillId="8" borderId="0" xfId="2" applyNumberFormat="1" applyFont="1" applyFill="1" applyBorder="1" applyAlignment="1" applyProtection="1">
      <alignment horizontal="center" vertical="center"/>
      <protection hidden="1"/>
    </xf>
    <xf numFmtId="0" fontId="44" fillId="8" borderId="7" xfId="2" applyFont="1" applyFill="1" applyBorder="1" applyAlignment="1" applyProtection="1">
      <alignment horizontal="center" vertical="center"/>
      <protection hidden="1"/>
    </xf>
    <xf numFmtId="0" fontId="38" fillId="0" borderId="106" xfId="0" applyFont="1" applyBorder="1" applyAlignment="1" applyProtection="1">
      <alignment horizontal="center" vertical="center"/>
      <protection hidden="1"/>
    </xf>
    <xf numFmtId="0" fontId="63" fillId="8" borderId="107" xfId="2" applyFont="1" applyFill="1" applyBorder="1" applyAlignment="1" applyProtection="1">
      <alignment horizontal="center" vertical="center"/>
      <protection hidden="1"/>
    </xf>
    <xf numFmtId="0" fontId="63" fillId="8" borderId="108" xfId="2" applyFont="1" applyFill="1" applyBorder="1" applyAlignment="1" applyProtection="1">
      <alignment horizontal="center" vertical="center"/>
      <protection hidden="1"/>
    </xf>
    <xf numFmtId="0" fontId="38" fillId="0" borderId="109" xfId="0" applyFont="1" applyBorder="1" applyAlignment="1" applyProtection="1">
      <alignment horizontal="center" vertical="center"/>
      <protection hidden="1"/>
    </xf>
    <xf numFmtId="0" fontId="63" fillId="8" borderId="110" xfId="2" applyFont="1" applyFill="1" applyBorder="1" applyAlignment="1" applyProtection="1">
      <alignment horizontal="center" vertical="center"/>
      <protection hidden="1"/>
    </xf>
    <xf numFmtId="0" fontId="38" fillId="0" borderId="111" xfId="0" applyFont="1" applyBorder="1" applyAlignment="1" applyProtection="1">
      <alignment horizontal="center" vertical="center"/>
      <protection hidden="1"/>
    </xf>
    <xf numFmtId="0" fontId="63" fillId="8" borderId="112" xfId="2" applyFont="1" applyFill="1" applyBorder="1" applyAlignment="1" applyProtection="1">
      <alignment horizontal="center" vertical="center"/>
      <protection hidden="1"/>
    </xf>
    <xf numFmtId="0" fontId="38" fillId="14" borderId="113" xfId="0" applyFont="1" applyFill="1" applyBorder="1" applyAlignment="1" applyProtection="1">
      <alignment horizontal="center" vertical="center"/>
      <protection hidden="1"/>
    </xf>
    <xf numFmtId="0" fontId="63" fillId="14" borderId="107" xfId="2" applyFont="1" applyFill="1" applyBorder="1" applyAlignment="1" applyProtection="1">
      <alignment horizontal="center" vertical="center"/>
      <protection hidden="1"/>
    </xf>
    <xf numFmtId="0" fontId="63" fillId="14" borderId="108" xfId="2" applyFont="1" applyFill="1" applyBorder="1" applyAlignment="1" applyProtection="1">
      <alignment horizontal="center" vertical="center"/>
      <protection hidden="1"/>
    </xf>
    <xf numFmtId="0" fontId="38" fillId="14" borderId="109" xfId="0" applyFont="1" applyFill="1" applyBorder="1" applyAlignment="1" applyProtection="1">
      <alignment horizontal="center" vertical="center"/>
      <protection hidden="1"/>
    </xf>
    <xf numFmtId="0" fontId="63" fillId="14" borderId="110" xfId="2" applyFont="1" applyFill="1" applyBorder="1" applyAlignment="1" applyProtection="1">
      <alignment horizontal="center" vertical="center"/>
      <protection hidden="1"/>
    </xf>
    <xf numFmtId="0" fontId="38" fillId="14" borderId="114" xfId="0" applyFont="1" applyFill="1" applyBorder="1" applyAlignment="1" applyProtection="1">
      <alignment horizontal="center" vertical="center"/>
      <protection hidden="1"/>
    </xf>
    <xf numFmtId="0" fontId="63" fillId="14" borderId="112" xfId="2" applyFont="1" applyFill="1" applyBorder="1" applyAlignment="1" applyProtection="1">
      <alignment horizontal="center" vertical="center"/>
      <protection hidden="1"/>
    </xf>
    <xf numFmtId="0" fontId="38" fillId="0" borderId="113" xfId="0" applyFont="1" applyBorder="1" applyAlignment="1" applyProtection="1">
      <alignment horizontal="center" vertical="center"/>
      <protection hidden="1"/>
    </xf>
    <xf numFmtId="0" fontId="63" fillId="0" borderId="115" xfId="2" applyFont="1" applyFill="1" applyBorder="1" applyAlignment="1" applyProtection="1">
      <alignment horizontal="center" vertical="center"/>
      <protection hidden="1"/>
    </xf>
    <xf numFmtId="0" fontId="63" fillId="0" borderId="110" xfId="2" applyFont="1" applyFill="1" applyBorder="1" applyAlignment="1" applyProtection="1">
      <alignment horizontal="center" vertical="center"/>
      <protection hidden="1"/>
    </xf>
    <xf numFmtId="0" fontId="38" fillId="0" borderId="114" xfId="0" applyFont="1" applyBorder="1" applyAlignment="1" applyProtection="1">
      <alignment horizontal="center" vertical="center"/>
      <protection hidden="1"/>
    </xf>
    <xf numFmtId="0" fontId="63" fillId="0" borderId="107" xfId="2" applyFont="1" applyFill="1" applyBorder="1" applyAlignment="1" applyProtection="1">
      <alignment horizontal="center" vertical="center"/>
      <protection hidden="1"/>
    </xf>
    <xf numFmtId="0" fontId="38" fillId="14" borderId="106" xfId="0" applyFont="1" applyFill="1" applyBorder="1" applyAlignment="1" applyProtection="1">
      <alignment horizontal="center" vertical="center"/>
      <protection hidden="1"/>
    </xf>
    <xf numFmtId="0" fontId="38" fillId="14" borderId="111" xfId="0" applyFont="1" applyFill="1" applyBorder="1" applyAlignment="1" applyProtection="1">
      <alignment horizontal="center" vertical="center"/>
      <protection hidden="1"/>
    </xf>
    <xf numFmtId="0" fontId="63" fillId="14" borderId="116" xfId="2" applyFont="1" applyFill="1" applyBorder="1" applyAlignment="1" applyProtection="1">
      <alignment horizontal="center" vertical="center"/>
      <protection hidden="1"/>
    </xf>
    <xf numFmtId="0" fontId="2" fillId="8" borderId="0" xfId="2" applyFont="1" applyFill="1" applyBorder="1" applyAlignment="1" applyProtection="1">
      <alignment vertical="center"/>
      <protection hidden="1"/>
    </xf>
    <xf numFmtId="0" fontId="2" fillId="8" borderId="0" xfId="2" applyFont="1" applyFill="1" applyBorder="1" applyAlignment="1" applyProtection="1">
      <alignment horizontal="right" vertical="center"/>
      <protection hidden="1"/>
    </xf>
    <xf numFmtId="0" fontId="62" fillId="8" borderId="21" xfId="2" applyFont="1" applyFill="1" applyBorder="1" applyAlignment="1" applyProtection="1">
      <alignment horizontal="center" vertical="center"/>
      <protection hidden="1"/>
    </xf>
    <xf numFmtId="0" fontId="5" fillId="0" borderId="2" xfId="0" applyFont="1" applyBorder="1" applyAlignment="1" applyProtection="1">
      <alignment horizontal="center"/>
      <protection hidden="1"/>
    </xf>
    <xf numFmtId="0" fontId="1" fillId="0" borderId="1" xfId="2" applyBorder="1" applyAlignment="1" applyProtection="1">
      <alignment horizontal="center" vertical="center" shrinkToFit="1"/>
      <protection hidden="1"/>
    </xf>
    <xf numFmtId="0" fontId="1" fillId="0" borderId="64" xfId="2" applyBorder="1" applyAlignment="1" applyProtection="1">
      <alignment horizontal="center" vertical="center" shrinkToFit="1"/>
      <protection hidden="1"/>
    </xf>
    <xf numFmtId="0" fontId="1" fillId="0" borderId="6" xfId="2" applyBorder="1" applyAlignment="1" applyProtection="1">
      <alignment horizontal="center" vertical="center" shrinkToFit="1"/>
      <protection hidden="1"/>
    </xf>
    <xf numFmtId="0" fontId="1" fillId="0" borderId="66" xfId="2" applyBorder="1" applyAlignment="1" applyProtection="1">
      <alignment horizontal="center" vertical="center" shrinkToFit="1"/>
      <protection hidden="1"/>
    </xf>
    <xf numFmtId="0" fontId="1" fillId="0" borderId="24" xfId="2" applyBorder="1" applyAlignment="1" applyProtection="1">
      <alignment horizontal="center" vertical="center" shrinkToFit="1"/>
      <protection hidden="1"/>
    </xf>
    <xf numFmtId="0" fontId="1" fillId="0" borderId="17" xfId="2" applyBorder="1" applyAlignment="1" applyProtection="1">
      <alignment horizontal="center" vertical="center" shrinkToFit="1"/>
      <protection hidden="1"/>
    </xf>
    <xf numFmtId="0" fontId="1" fillId="0" borderId="23" xfId="2" applyBorder="1" applyAlignment="1" applyProtection="1">
      <alignment horizontal="center" vertical="center" shrinkToFit="1"/>
      <protection hidden="1"/>
    </xf>
    <xf numFmtId="0" fontId="1" fillId="0" borderId="19" xfId="2" applyBorder="1" applyAlignment="1" applyProtection="1">
      <alignment horizontal="center" vertical="center" shrinkToFit="1"/>
      <protection hidden="1"/>
    </xf>
    <xf numFmtId="0" fontId="1" fillId="0" borderId="24" xfId="2" applyBorder="1" applyAlignment="1" applyProtection="1">
      <alignment horizontal="center" vertical="center"/>
      <protection hidden="1"/>
    </xf>
    <xf numFmtId="0" fontId="1" fillId="0" borderId="16" xfId="2" applyBorder="1" applyAlignment="1" applyProtection="1">
      <alignment horizontal="center" vertical="center"/>
      <protection hidden="1"/>
    </xf>
    <xf numFmtId="0" fontId="1" fillId="0" borderId="17" xfId="2" applyBorder="1" applyAlignment="1" applyProtection="1">
      <alignment horizontal="center" vertical="center"/>
      <protection hidden="1"/>
    </xf>
    <xf numFmtId="0" fontId="1" fillId="0" borderId="23" xfId="2" applyBorder="1" applyAlignment="1" applyProtection="1">
      <alignment horizontal="center" vertical="center"/>
      <protection hidden="1"/>
    </xf>
    <xf numFmtId="0" fontId="1" fillId="0" borderId="18" xfId="2" applyBorder="1" applyAlignment="1" applyProtection="1">
      <alignment horizontal="center" vertical="center"/>
      <protection hidden="1"/>
    </xf>
    <xf numFmtId="0" fontId="1" fillId="0" borderId="19" xfId="2" applyBorder="1" applyAlignment="1" applyProtection="1">
      <alignment horizontal="center" vertical="center"/>
      <protection hidden="1"/>
    </xf>
    <xf numFmtId="0" fontId="1" fillId="0" borderId="0" xfId="2" applyBorder="1" applyAlignment="1" applyProtection="1">
      <alignment horizontal="center" vertical="center"/>
      <protection hidden="1"/>
    </xf>
    <xf numFmtId="0" fontId="1" fillId="0" borderId="59" xfId="2" applyBorder="1" applyAlignment="1" applyProtection="1">
      <alignment horizontal="center" vertical="center" shrinkToFit="1"/>
      <protection hidden="1"/>
    </xf>
    <xf numFmtId="0" fontId="1" fillId="0" borderId="60" xfId="2" applyBorder="1" applyAlignment="1" applyProtection="1">
      <alignment horizontal="center" vertical="center" shrinkToFit="1"/>
      <protection hidden="1"/>
    </xf>
    <xf numFmtId="0" fontId="1" fillId="0" borderId="18" xfId="2" applyBorder="1" applyAlignment="1" applyProtection="1">
      <alignment horizontal="center" vertical="center" shrinkToFit="1"/>
      <protection hidden="1"/>
    </xf>
    <xf numFmtId="0" fontId="1" fillId="0" borderId="20" xfId="2" applyBorder="1" applyAlignment="1" applyProtection="1">
      <alignment vertical="center" shrinkToFit="1"/>
      <protection hidden="1"/>
    </xf>
    <xf numFmtId="0" fontId="1" fillId="0" borderId="0" xfId="2" applyBorder="1" applyAlignment="1" applyProtection="1">
      <alignment vertical="center" shrinkToFit="1"/>
      <protection hidden="1"/>
    </xf>
    <xf numFmtId="0" fontId="1" fillId="0" borderId="63" xfId="2" applyBorder="1" applyAlignment="1" applyProtection="1">
      <alignment horizontal="center" vertical="top" wrapText="1"/>
      <protection hidden="1"/>
    </xf>
    <xf numFmtId="0" fontId="60" fillId="0" borderId="2" xfId="2" applyFont="1" applyBorder="1" applyAlignment="1" applyProtection="1">
      <alignment horizontal="center" vertical="center" shrinkToFit="1"/>
      <protection hidden="1"/>
    </xf>
    <xf numFmtId="0" fontId="3" fillId="0" borderId="18" xfId="2" applyFont="1" applyBorder="1" applyAlignment="1" applyProtection="1">
      <alignment horizontal="center" vertical="center"/>
      <protection hidden="1"/>
    </xf>
    <xf numFmtId="0" fontId="14" fillId="0" borderId="7" xfId="0" applyFont="1" applyBorder="1" applyAlignment="1" applyProtection="1">
      <alignment horizontal="center" shrinkToFit="1"/>
      <protection hidden="1"/>
    </xf>
    <xf numFmtId="0" fontId="14" fillId="0" borderId="8" xfId="0" applyFont="1" applyBorder="1" applyAlignment="1" applyProtection="1">
      <alignment horizontal="center" shrinkToFit="1"/>
      <protection hidden="1"/>
    </xf>
    <xf numFmtId="0" fontId="14" fillId="0" borderId="4" xfId="0" applyFont="1" applyBorder="1" applyAlignment="1" applyProtection="1">
      <alignment horizontal="center" shrinkToFit="1"/>
      <protection hidden="1"/>
    </xf>
    <xf numFmtId="0" fontId="14" fillId="0" borderId="0" xfId="0" applyFont="1" applyBorder="1" applyAlignment="1" applyProtection="1">
      <alignment horizontal="center" shrinkToFit="1"/>
      <protection hidden="1"/>
    </xf>
    <xf numFmtId="0" fontId="14" fillId="0" borderId="5" xfId="0" applyFont="1" applyBorder="1" applyAlignment="1" applyProtection="1">
      <alignment horizontal="center" shrinkToFit="1"/>
      <protection hidden="1"/>
    </xf>
    <xf numFmtId="0" fontId="14" fillId="0" borderId="6" xfId="0" applyFont="1" applyBorder="1" applyAlignment="1" applyProtection="1">
      <alignment horizontal="center" shrinkToFit="1"/>
      <protection hidden="1"/>
    </xf>
    <xf numFmtId="0" fontId="5" fillId="0" borderId="7" xfId="0" applyFont="1" applyBorder="1" applyAlignment="1" applyProtection="1">
      <alignment horizontal="center"/>
      <protection hidden="1"/>
    </xf>
    <xf numFmtId="0" fontId="14" fillId="0" borderId="4" xfId="0" applyFont="1" applyFill="1" applyBorder="1" applyAlignment="1" applyProtection="1">
      <alignment horizontal="center" shrinkToFit="1"/>
      <protection hidden="1"/>
    </xf>
    <xf numFmtId="0" fontId="14" fillId="0" borderId="0" xfId="0" applyFont="1" applyFill="1" applyBorder="1" applyAlignment="1" applyProtection="1">
      <alignment horizontal="center" shrinkToFit="1"/>
      <protection hidden="1"/>
    </xf>
    <xf numFmtId="0" fontId="14" fillId="0" borderId="5" xfId="0" applyFont="1" applyFill="1" applyBorder="1" applyAlignment="1" applyProtection="1">
      <alignment horizontal="center" shrinkToFit="1"/>
      <protection hidden="1"/>
    </xf>
    <xf numFmtId="0" fontId="2" fillId="0" borderId="0" xfId="2" applyFont="1" applyFill="1" applyBorder="1" applyAlignment="1" applyProtection="1">
      <alignment horizontal="center" vertical="center"/>
      <protection hidden="1"/>
    </xf>
    <xf numFmtId="0" fontId="4" fillId="0" borderId="7" xfId="0" applyFont="1" applyBorder="1" applyAlignment="1" applyProtection="1">
      <alignment horizontal="center"/>
      <protection hidden="1"/>
    </xf>
    <xf numFmtId="0" fontId="36" fillId="8" borderId="6" xfId="0" applyFont="1" applyFill="1" applyBorder="1" applyAlignment="1" applyProtection="1">
      <alignment horizontal="center"/>
      <protection hidden="1"/>
    </xf>
    <xf numFmtId="0" fontId="36" fillId="8" borderId="7" xfId="0" applyFont="1" applyFill="1" applyBorder="1" applyAlignment="1" applyProtection="1">
      <alignment horizontal="center"/>
      <protection hidden="1"/>
    </xf>
    <xf numFmtId="0" fontId="7" fillId="8" borderId="2" xfId="0" applyFont="1" applyFill="1" applyBorder="1" applyAlignment="1" applyProtection="1">
      <alignment horizontal="center"/>
      <protection hidden="1"/>
    </xf>
    <xf numFmtId="0" fontId="14" fillId="8" borderId="45" xfId="0" applyFont="1" applyFill="1" applyBorder="1" applyAlignment="1" applyProtection="1">
      <alignment horizontal="center" vertical="center" shrinkToFit="1"/>
      <protection hidden="1"/>
    </xf>
    <xf numFmtId="0" fontId="14" fillId="8" borderId="46" xfId="0" applyFont="1" applyFill="1" applyBorder="1" applyAlignment="1" applyProtection="1">
      <alignment horizontal="center" vertical="center" shrinkToFit="1"/>
      <protection hidden="1"/>
    </xf>
    <xf numFmtId="0" fontId="14" fillId="8" borderId="48" xfId="0" applyFont="1" applyFill="1" applyBorder="1" applyAlignment="1" applyProtection="1">
      <alignment horizontal="center" vertical="center" shrinkToFit="1"/>
      <protection hidden="1"/>
    </xf>
    <xf numFmtId="0" fontId="14" fillId="8" borderId="34" xfId="0" applyFont="1" applyFill="1" applyBorder="1" applyAlignment="1" applyProtection="1">
      <alignment horizontal="center" vertical="center" shrinkToFit="1"/>
      <protection hidden="1"/>
    </xf>
    <xf numFmtId="0" fontId="37" fillId="0" borderId="0" xfId="0" applyFont="1" applyBorder="1" applyAlignment="1" applyProtection="1">
      <alignment horizontal="center" vertical="top"/>
      <protection hidden="1"/>
    </xf>
    <xf numFmtId="0" fontId="18" fillId="5" borderId="24" xfId="0" applyFont="1" applyFill="1" applyBorder="1" applyAlignment="1" applyProtection="1">
      <alignment horizontal="center" vertical="center"/>
      <protection hidden="1"/>
    </xf>
    <xf numFmtId="0" fontId="18" fillId="5" borderId="16" xfId="0" applyFont="1" applyFill="1" applyBorder="1" applyAlignment="1" applyProtection="1">
      <alignment horizontal="center" vertical="center"/>
      <protection hidden="1"/>
    </xf>
    <xf numFmtId="0" fontId="18" fillId="5" borderId="17" xfId="0" applyFont="1" applyFill="1" applyBorder="1" applyAlignment="1" applyProtection="1">
      <alignment horizontal="center" vertical="center"/>
      <protection hidden="1"/>
    </xf>
    <xf numFmtId="0" fontId="18" fillId="5" borderId="23" xfId="0" applyFont="1" applyFill="1" applyBorder="1" applyAlignment="1" applyProtection="1">
      <alignment horizontal="center" vertical="center"/>
      <protection hidden="1"/>
    </xf>
    <xf numFmtId="0" fontId="18" fillId="5" borderId="18" xfId="0" applyFont="1" applyFill="1" applyBorder="1" applyAlignment="1" applyProtection="1">
      <alignment horizontal="center" vertical="center"/>
      <protection hidden="1"/>
    </xf>
    <xf numFmtId="0" fontId="18" fillId="5" borderId="19" xfId="0" applyFont="1" applyFill="1" applyBorder="1" applyAlignment="1" applyProtection="1">
      <alignment horizontal="center" vertical="center"/>
      <protection hidden="1"/>
    </xf>
    <xf numFmtId="0" fontId="14" fillId="0" borderId="42" xfId="0" applyFont="1" applyBorder="1" applyAlignment="1" applyProtection="1">
      <alignment horizontal="center" vertical="center" shrinkToFit="1"/>
      <protection hidden="1"/>
    </xf>
    <xf numFmtId="0" fontId="0" fillId="0" borderId="43" xfId="0" applyFont="1" applyBorder="1" applyAlignment="1" applyProtection="1">
      <alignment horizontal="center" vertical="center" shrinkToFit="1"/>
      <protection hidden="1"/>
    </xf>
    <xf numFmtId="0" fontId="44" fillId="0" borderId="7" xfId="0" applyFont="1" applyBorder="1" applyAlignment="1" applyProtection="1">
      <alignment horizontal="center"/>
      <protection hidden="1"/>
    </xf>
    <xf numFmtId="0" fontId="2" fillId="8" borderId="0" xfId="2" applyFont="1" applyFill="1" applyBorder="1" applyAlignment="1" applyProtection="1">
      <alignment horizontal="center" vertical="center"/>
      <protection hidden="1"/>
    </xf>
    <xf numFmtId="0" fontId="0" fillId="0" borderId="0" xfId="0" applyAlignment="1">
      <alignment shrinkToFit="1"/>
    </xf>
    <xf numFmtId="0" fontId="0" fillId="0" borderId="5" xfId="0" applyBorder="1" applyAlignment="1">
      <alignment shrinkToFit="1"/>
    </xf>
    <xf numFmtId="0" fontId="10" fillId="0" borderId="0" xfId="0" applyFont="1" applyFill="1" applyBorder="1" applyAlignment="1" applyProtection="1">
      <alignment horizontal="right" vertical="center"/>
      <protection hidden="1"/>
    </xf>
    <xf numFmtId="0" fontId="13" fillId="8" borderId="2" xfId="0" applyFont="1" applyFill="1" applyBorder="1" applyAlignment="1" applyProtection="1">
      <alignment horizontal="center"/>
      <protection hidden="1"/>
    </xf>
    <xf numFmtId="0" fontId="14" fillId="8" borderId="23" xfId="0" applyFont="1" applyFill="1" applyBorder="1" applyAlignment="1" applyProtection="1">
      <alignment horizontal="center" vertical="center" shrinkToFit="1"/>
      <protection hidden="1"/>
    </xf>
    <xf numFmtId="0" fontId="14" fillId="8" borderId="18" xfId="0" applyFont="1" applyFill="1" applyBorder="1" applyAlignment="1" applyProtection="1">
      <alignment horizontal="center" vertical="center" shrinkToFit="1"/>
      <protection hidden="1"/>
    </xf>
    <xf numFmtId="0" fontId="4" fillId="8" borderId="45" xfId="0" applyFont="1" applyFill="1" applyBorder="1" applyAlignment="1" applyProtection="1">
      <alignment horizontal="center" vertical="center" shrinkToFit="1"/>
      <protection hidden="1"/>
    </xf>
    <xf numFmtId="0" fontId="4" fillId="8" borderId="46" xfId="0" applyFont="1" applyFill="1" applyBorder="1" applyAlignment="1" applyProtection="1">
      <alignment horizontal="center" vertical="center" shrinkToFit="1"/>
      <protection hidden="1"/>
    </xf>
    <xf numFmtId="0" fontId="4" fillId="8" borderId="71" xfId="0" applyFont="1" applyFill="1" applyBorder="1" applyAlignment="1" applyProtection="1">
      <alignment horizontal="center" vertical="center" shrinkToFit="1"/>
      <protection hidden="1"/>
    </xf>
    <xf numFmtId="0" fontId="4" fillId="8" borderId="80" xfId="0" applyFont="1" applyFill="1" applyBorder="1" applyAlignment="1" applyProtection="1">
      <alignment horizontal="center" vertical="center" shrinkToFit="1"/>
      <protection hidden="1"/>
    </xf>
    <xf numFmtId="0" fontId="4" fillId="0" borderId="16" xfId="0" applyFont="1" applyBorder="1" applyAlignment="1" applyProtection="1">
      <alignment horizontal="center" vertical="center" wrapText="1"/>
      <protection hidden="1"/>
    </xf>
    <xf numFmtId="0" fontId="4" fillId="0" borderId="0" xfId="0" applyFont="1" applyAlignment="1" applyProtection="1">
      <alignment horizontal="center" vertical="center" wrapText="1"/>
      <protection hidden="1"/>
    </xf>
    <xf numFmtId="0" fontId="14" fillId="0" borderId="6" xfId="0" applyFont="1" applyFill="1" applyBorder="1" applyAlignment="1" applyProtection="1">
      <alignment horizontal="center" shrinkToFit="1"/>
      <protection hidden="1"/>
    </xf>
    <xf numFmtId="0" fontId="14" fillId="0" borderId="7" xfId="0" applyFont="1" applyFill="1" applyBorder="1" applyAlignment="1" applyProtection="1">
      <alignment horizontal="center" shrinkToFit="1"/>
      <protection hidden="1"/>
    </xf>
    <xf numFmtId="0" fontId="14" fillId="0" borderId="8" xfId="0" applyFont="1" applyFill="1" applyBorder="1" applyAlignment="1" applyProtection="1">
      <alignment horizontal="center" shrinkToFit="1"/>
      <protection hidden="1"/>
    </xf>
    <xf numFmtId="0" fontId="16" fillId="0" borderId="42" xfId="0" applyFont="1" applyBorder="1" applyAlignment="1" applyProtection="1">
      <alignment horizontal="center" vertical="center" shrinkToFit="1"/>
      <protection hidden="1"/>
    </xf>
    <xf numFmtId="0" fontId="28" fillId="0" borderId="43" xfId="0" applyFont="1" applyBorder="1" applyAlignment="1" applyProtection="1">
      <alignment horizontal="center" vertical="center" shrinkToFit="1"/>
      <protection hidden="1"/>
    </xf>
    <xf numFmtId="1" fontId="2" fillId="8" borderId="0" xfId="2" applyNumberFormat="1" applyFont="1" applyFill="1" applyBorder="1" applyAlignment="1" applyProtection="1">
      <alignment horizontal="center" vertical="center"/>
      <protection hidden="1"/>
    </xf>
    <xf numFmtId="0" fontId="10" fillId="0" borderId="60" xfId="0" applyFont="1" applyBorder="1" applyAlignment="1" applyProtection="1">
      <alignment horizontal="center"/>
      <protection hidden="1"/>
    </xf>
    <xf numFmtId="0" fontId="9" fillId="5" borderId="18" xfId="0" applyFont="1" applyFill="1" applyBorder="1" applyAlignment="1" applyProtection="1">
      <alignment horizontal="left" vertical="center" shrinkToFit="1"/>
      <protection hidden="1"/>
    </xf>
    <xf numFmtId="0" fontId="16" fillId="10" borderId="24" xfId="0" applyFont="1" applyFill="1" applyBorder="1" applyAlignment="1" applyProtection="1">
      <alignment horizontal="center" vertical="center"/>
      <protection locked="0" hidden="1"/>
    </xf>
    <xf numFmtId="0" fontId="16" fillId="10" borderId="76" xfId="0" applyFont="1" applyFill="1" applyBorder="1" applyAlignment="1" applyProtection="1">
      <alignment horizontal="center" vertical="center"/>
      <protection locked="0" hidden="1"/>
    </xf>
    <xf numFmtId="0" fontId="16" fillId="10" borderId="23" xfId="0" applyFont="1" applyFill="1" applyBorder="1" applyAlignment="1" applyProtection="1">
      <alignment horizontal="center" vertical="center"/>
      <protection locked="0" hidden="1"/>
    </xf>
    <xf numFmtId="0" fontId="16" fillId="10" borderId="77" xfId="0" applyFont="1" applyFill="1" applyBorder="1" applyAlignment="1" applyProtection="1">
      <alignment horizontal="center" vertical="center"/>
      <protection locked="0" hidden="1"/>
    </xf>
    <xf numFmtId="0" fontId="16" fillId="10" borderId="78" xfId="0" applyFont="1" applyFill="1" applyBorder="1" applyAlignment="1" applyProtection="1">
      <alignment horizontal="center" vertical="center"/>
      <protection locked="0" hidden="1"/>
    </xf>
    <xf numFmtId="0" fontId="16" fillId="10" borderId="17" xfId="0" applyFont="1" applyFill="1" applyBorder="1" applyAlignment="1" applyProtection="1">
      <alignment horizontal="center" vertical="center"/>
      <protection locked="0" hidden="1"/>
    </xf>
    <xf numFmtId="0" fontId="16" fillId="10" borderId="79" xfId="0" applyFont="1" applyFill="1" applyBorder="1" applyAlignment="1" applyProtection="1">
      <alignment horizontal="center" vertical="center"/>
      <protection locked="0" hidden="1"/>
    </xf>
    <xf numFmtId="0" fontId="16" fillId="10" borderId="19" xfId="0" applyFont="1" applyFill="1" applyBorder="1" applyAlignment="1" applyProtection="1">
      <alignment horizontal="center" vertical="center"/>
      <protection locked="0" hidden="1"/>
    </xf>
    <xf numFmtId="0" fontId="43" fillId="0" borderId="16" xfId="0" applyFont="1" applyBorder="1" applyAlignment="1" applyProtection="1">
      <alignment horizontal="left"/>
      <protection hidden="1"/>
    </xf>
    <xf numFmtId="0" fontId="24" fillId="5" borderId="31" xfId="0" applyFont="1" applyFill="1" applyBorder="1" applyAlignment="1" applyProtection="1">
      <alignment horizontal="right" vertical="center"/>
      <protection locked="0"/>
    </xf>
    <xf numFmtId="0" fontId="24" fillId="5" borderId="23" xfId="0" applyFont="1" applyFill="1" applyBorder="1" applyAlignment="1" applyProtection="1">
      <alignment horizontal="right" vertical="center"/>
      <protection locked="0"/>
    </xf>
    <xf numFmtId="0" fontId="9" fillId="5" borderId="2" xfId="0" applyFont="1" applyFill="1" applyBorder="1" applyAlignment="1" applyProtection="1">
      <alignment horizontal="left" vertical="center" shrinkToFit="1"/>
      <protection hidden="1"/>
    </xf>
    <xf numFmtId="0" fontId="24" fillId="6" borderId="29" xfId="0" applyFont="1" applyFill="1" applyBorder="1" applyAlignment="1" applyProtection="1">
      <alignment horizontal="right" vertical="center"/>
      <protection locked="0"/>
    </xf>
    <xf numFmtId="0" fontId="24" fillId="6" borderId="30" xfId="0" applyFont="1" applyFill="1" applyBorder="1" applyAlignment="1" applyProtection="1">
      <alignment horizontal="right" vertical="center"/>
      <protection locked="0"/>
    </xf>
    <xf numFmtId="0" fontId="9" fillId="6" borderId="12" xfId="0" applyFont="1" applyFill="1" applyBorder="1" applyAlignment="1" applyProtection="1">
      <alignment horizontal="left" vertical="center" shrinkToFit="1"/>
      <protection hidden="1"/>
    </xf>
    <xf numFmtId="0" fontId="10" fillId="5" borderId="74" xfId="0" applyFont="1" applyFill="1" applyBorder="1" applyAlignment="1" applyProtection="1">
      <alignment vertical="center" wrapText="1"/>
      <protection hidden="1"/>
    </xf>
    <xf numFmtId="0" fontId="10" fillId="5" borderId="25" xfId="0" applyFont="1" applyFill="1" applyBorder="1" applyAlignment="1" applyProtection="1">
      <alignment vertical="center"/>
      <protection hidden="1"/>
    </xf>
    <xf numFmtId="0" fontId="10" fillId="5" borderId="56" xfId="0" applyFont="1" applyFill="1" applyBorder="1" applyAlignment="1" applyProtection="1">
      <alignment vertical="center"/>
      <protection hidden="1"/>
    </xf>
    <xf numFmtId="0" fontId="9" fillId="6" borderId="7" xfId="0" applyFont="1" applyFill="1" applyBorder="1" applyAlignment="1" applyProtection="1">
      <alignment horizontal="left" vertical="center" shrinkToFit="1"/>
      <protection hidden="1"/>
    </xf>
    <xf numFmtId="0" fontId="24" fillId="2" borderId="31" xfId="0" applyFont="1" applyFill="1" applyBorder="1" applyAlignment="1" applyProtection="1">
      <alignment horizontal="right" vertical="center"/>
      <protection locked="0"/>
    </xf>
    <xf numFmtId="0" fontId="24" fillId="0" borderId="32" xfId="0" applyFont="1" applyBorder="1" applyAlignment="1" applyProtection="1">
      <alignment horizontal="right" vertical="center"/>
      <protection locked="0"/>
    </xf>
    <xf numFmtId="0" fontId="9" fillId="2" borderId="2" xfId="0" applyFont="1" applyFill="1" applyBorder="1" applyAlignment="1" applyProtection="1">
      <alignment horizontal="left" vertical="center" shrinkToFit="1"/>
      <protection hidden="1"/>
    </xf>
    <xf numFmtId="0" fontId="9" fillId="2" borderId="14" xfId="0" applyFont="1" applyFill="1" applyBorder="1" applyAlignment="1" applyProtection="1">
      <alignment horizontal="left" vertical="center" shrinkToFit="1"/>
      <protection hidden="1"/>
    </xf>
    <xf numFmtId="0" fontId="10" fillId="0" borderId="74" xfId="0" applyFont="1" applyFill="1" applyBorder="1" applyAlignment="1" applyProtection="1">
      <alignment vertical="center" wrapText="1"/>
      <protection hidden="1"/>
    </xf>
    <xf numFmtId="0" fontId="10" fillId="0" borderId="25" xfId="0" applyFont="1" applyFill="1" applyBorder="1" applyAlignment="1" applyProtection="1">
      <alignment vertical="center"/>
      <protection hidden="1"/>
    </xf>
    <xf numFmtId="0" fontId="10" fillId="0" borderId="70" xfId="0" applyFont="1" applyFill="1" applyBorder="1" applyAlignment="1" applyProtection="1">
      <alignment vertical="center"/>
      <protection hidden="1"/>
    </xf>
    <xf numFmtId="0" fontId="38" fillId="0" borderId="59" xfId="0" applyFont="1" applyBorder="1" applyAlignment="1" applyProtection="1">
      <alignment horizontal="center" vertical="center"/>
      <protection hidden="1"/>
    </xf>
    <xf numFmtId="0" fontId="38" fillId="0" borderId="60" xfId="0" applyFont="1" applyBorder="1" applyAlignment="1" applyProtection="1">
      <alignment horizontal="center" vertical="center"/>
      <protection hidden="1"/>
    </xf>
    <xf numFmtId="0" fontId="9" fillId="4" borderId="7" xfId="0" applyFont="1" applyFill="1" applyBorder="1" applyAlignment="1" applyProtection="1">
      <alignment horizontal="left" vertical="center" shrinkToFit="1"/>
      <protection hidden="1"/>
    </xf>
    <xf numFmtId="0" fontId="24" fillId="4" borderId="29" xfId="0" applyFont="1" applyFill="1" applyBorder="1" applyAlignment="1" applyProtection="1">
      <alignment horizontal="right" vertical="center"/>
      <protection locked="0"/>
    </xf>
    <xf numFmtId="0" fontId="24" fillId="0" borderId="30" xfId="0" applyFont="1" applyBorder="1" applyAlignment="1" applyProtection="1">
      <alignment horizontal="right" vertical="center"/>
      <protection locked="0"/>
    </xf>
    <xf numFmtId="0" fontId="9" fillId="4" borderId="12" xfId="0" applyFont="1" applyFill="1" applyBorder="1" applyAlignment="1" applyProtection="1">
      <alignment horizontal="left" vertical="center" shrinkToFit="1"/>
      <protection hidden="1"/>
    </xf>
    <xf numFmtId="0" fontId="24" fillId="5" borderId="32" xfId="0" applyFont="1" applyFill="1" applyBorder="1" applyAlignment="1" applyProtection="1">
      <alignment horizontal="right" vertical="center"/>
      <protection locked="0"/>
    </xf>
    <xf numFmtId="0" fontId="9" fillId="5" borderId="14" xfId="0" applyFont="1" applyFill="1" applyBorder="1" applyAlignment="1" applyProtection="1">
      <alignment horizontal="left" vertical="center" shrinkToFit="1"/>
      <protection hidden="1"/>
    </xf>
    <xf numFmtId="0" fontId="9" fillId="0" borderId="18" xfId="0" applyFont="1" applyFill="1" applyBorder="1" applyAlignment="1" applyProtection="1">
      <alignment horizontal="left" vertical="top" shrinkToFit="1"/>
      <protection hidden="1"/>
    </xf>
    <xf numFmtId="0" fontId="38" fillId="0" borderId="23" xfId="0" applyFont="1" applyBorder="1" applyAlignment="1" applyProtection="1">
      <alignment horizontal="center" vertical="center"/>
      <protection hidden="1"/>
    </xf>
    <xf numFmtId="0" fontId="38" fillId="0" borderId="18" xfId="0" applyFont="1" applyBorder="1" applyAlignment="1" applyProtection="1">
      <alignment horizontal="center" vertical="center"/>
      <protection hidden="1"/>
    </xf>
    <xf numFmtId="0" fontId="24" fillId="6" borderId="24" xfId="0" applyNumberFormat="1" applyFont="1" applyFill="1" applyBorder="1" applyAlignment="1" applyProtection="1">
      <alignment horizontal="right" vertical="center"/>
      <protection locked="0"/>
    </xf>
    <xf numFmtId="0" fontId="24" fillId="5" borderId="30" xfId="0" applyNumberFormat="1" applyFont="1" applyFill="1" applyBorder="1" applyAlignment="1" applyProtection="1">
      <alignment horizontal="right" vertical="center"/>
      <protection locked="0"/>
    </xf>
    <xf numFmtId="0" fontId="9" fillId="6" borderId="16" xfId="0" applyFont="1" applyFill="1" applyBorder="1" applyAlignment="1" applyProtection="1">
      <alignment horizontal="left" vertical="center" shrinkToFit="1"/>
      <protection hidden="1"/>
    </xf>
    <xf numFmtId="0" fontId="24" fillId="6" borderId="24" xfId="0" applyFont="1" applyFill="1" applyBorder="1" applyAlignment="1" applyProtection="1">
      <alignment horizontal="right" vertical="center"/>
      <protection locked="0"/>
    </xf>
    <xf numFmtId="0" fontId="24" fillId="5" borderId="30" xfId="0" applyFont="1" applyFill="1" applyBorder="1" applyAlignment="1" applyProtection="1">
      <alignment horizontal="right" vertical="center"/>
      <protection locked="0"/>
    </xf>
    <xf numFmtId="0" fontId="10" fillId="5" borderId="73" xfId="0" applyFont="1" applyFill="1" applyBorder="1" applyAlignment="1" applyProtection="1">
      <alignment vertical="center" wrapText="1"/>
      <protection hidden="1"/>
    </xf>
    <xf numFmtId="0" fontId="10" fillId="5" borderId="70" xfId="0" applyFont="1" applyFill="1" applyBorder="1" applyAlignment="1" applyProtection="1">
      <alignment vertical="center"/>
      <protection hidden="1"/>
    </xf>
    <xf numFmtId="0" fontId="9" fillId="5" borderId="0" xfId="0" applyFont="1" applyFill="1" applyBorder="1" applyAlignment="1" applyProtection="1">
      <alignment horizontal="left" vertical="center" shrinkToFit="1"/>
      <protection hidden="1"/>
    </xf>
    <xf numFmtId="0" fontId="9" fillId="0" borderId="0" xfId="0" applyFont="1" applyFill="1" applyBorder="1" applyAlignment="1" applyProtection="1">
      <alignment horizontal="left" vertical="center" shrinkToFit="1"/>
      <protection hidden="1"/>
    </xf>
    <xf numFmtId="0" fontId="7" fillId="0" borderId="20" xfId="0" quotePrefix="1" applyFont="1" applyBorder="1" applyAlignment="1" applyProtection="1">
      <alignment horizontal="center" vertical="center"/>
      <protection hidden="1"/>
    </xf>
    <xf numFmtId="0" fontId="7" fillId="0" borderId="0" xfId="0" applyFont="1" applyBorder="1" applyAlignment="1" applyProtection="1">
      <alignment horizontal="center" vertical="center"/>
      <protection hidden="1"/>
    </xf>
    <xf numFmtId="0" fontId="7" fillId="0" borderId="10" xfId="0" applyFont="1" applyBorder="1" applyAlignment="1" applyProtection="1">
      <alignment horizontal="center" vertical="center"/>
      <protection hidden="1"/>
    </xf>
    <xf numFmtId="0" fontId="39" fillId="14" borderId="103" xfId="2" applyFont="1" applyFill="1" applyBorder="1" applyAlignment="1" applyProtection="1">
      <alignment horizontal="center" vertical="center"/>
      <protection hidden="1"/>
    </xf>
    <xf numFmtId="0" fontId="39" fillId="14" borderId="105" xfId="2" applyFont="1" applyFill="1" applyBorder="1" applyAlignment="1" applyProtection="1">
      <alignment horizontal="center" vertical="center"/>
      <protection hidden="1"/>
    </xf>
    <xf numFmtId="0" fontId="39" fillId="14" borderId="103" xfId="2" applyFont="1" applyFill="1" applyBorder="1" applyAlignment="1" applyProtection="1">
      <alignment horizontal="center" vertical="center" wrapText="1"/>
      <protection hidden="1"/>
    </xf>
    <xf numFmtId="0" fontId="39" fillId="14" borderId="105" xfId="2" applyFont="1" applyFill="1" applyBorder="1" applyAlignment="1" applyProtection="1">
      <alignment horizontal="center" vertical="center" wrapText="1"/>
      <protection hidden="1"/>
    </xf>
    <xf numFmtId="1" fontId="33" fillId="23" borderId="104" xfId="2" applyNumberFormat="1" applyFont="1" applyFill="1" applyBorder="1" applyAlignment="1" applyProtection="1">
      <alignment horizontal="center" vertical="center" wrapText="1"/>
      <protection hidden="1"/>
    </xf>
    <xf numFmtId="0" fontId="14" fillId="10" borderId="0" xfId="0" applyFont="1" applyFill="1" applyBorder="1" applyAlignment="1" applyProtection="1">
      <alignment horizontal="left" vertical="center" shrinkToFit="1"/>
      <protection locked="0"/>
    </xf>
    <xf numFmtId="0" fontId="3" fillId="5" borderId="73" xfId="2" applyFont="1" applyFill="1" applyBorder="1" applyAlignment="1" applyProtection="1">
      <alignment horizontal="center" vertical="center"/>
      <protection hidden="1"/>
    </xf>
    <xf numFmtId="0" fontId="3" fillId="5" borderId="56" xfId="2" applyFont="1" applyFill="1" applyBorder="1" applyAlignment="1" applyProtection="1">
      <alignment horizontal="center" vertical="center"/>
      <protection hidden="1"/>
    </xf>
    <xf numFmtId="0" fontId="3" fillId="5" borderId="69" xfId="2" applyFont="1" applyFill="1" applyBorder="1" applyAlignment="1" applyProtection="1">
      <alignment horizontal="center" vertical="center"/>
      <protection hidden="1"/>
    </xf>
    <xf numFmtId="0" fontId="3" fillId="5" borderId="57" xfId="2" applyFont="1" applyFill="1" applyBorder="1" applyAlignment="1" applyProtection="1">
      <alignment horizontal="center" vertical="center"/>
      <protection hidden="1"/>
    </xf>
    <xf numFmtId="0" fontId="3" fillId="0" borderId="0" xfId="2" applyFont="1" applyAlignment="1" applyProtection="1">
      <alignment horizontal="center" vertical="center" wrapText="1"/>
      <protection hidden="1"/>
    </xf>
    <xf numFmtId="0" fontId="3" fillId="0" borderId="18" xfId="2" applyFont="1" applyBorder="1" applyAlignment="1" applyProtection="1">
      <alignment horizontal="center" vertical="center" wrapText="1"/>
      <protection hidden="1"/>
    </xf>
    <xf numFmtId="0" fontId="16" fillId="0" borderId="2" xfId="0" applyFont="1" applyBorder="1" applyAlignment="1" applyProtection="1">
      <alignment horizontal="center" vertical="center"/>
      <protection hidden="1"/>
    </xf>
    <xf numFmtId="0" fontId="21" fillId="0" borderId="2" xfId="0" applyFont="1" applyBorder="1" applyAlignment="1" applyProtection="1">
      <alignment horizontal="left"/>
      <protection locked="0"/>
    </xf>
    <xf numFmtId="0" fontId="20" fillId="0" borderId="2" xfId="0" applyFont="1" applyBorder="1" applyAlignment="1" applyProtection="1">
      <alignment horizontal="center"/>
      <protection locked="0"/>
    </xf>
    <xf numFmtId="0" fontId="22" fillId="0" borderId="0" xfId="0" applyFont="1" applyBorder="1" applyAlignment="1" applyProtection="1">
      <alignment horizontal="left"/>
      <protection locked="0"/>
    </xf>
    <xf numFmtId="0" fontId="6" fillId="0" borderId="0" xfId="0" applyFont="1" applyBorder="1" applyAlignment="1" applyProtection="1">
      <alignment horizontal="right" vertical="center"/>
      <protection locked="0"/>
    </xf>
    <xf numFmtId="0" fontId="6" fillId="0" borderId="0" xfId="0" applyFont="1" applyBorder="1" applyAlignment="1" applyProtection="1">
      <alignment horizontal="left" vertical="center"/>
      <protection locked="0"/>
    </xf>
    <xf numFmtId="0" fontId="17" fillId="5" borderId="28" xfId="0" applyFont="1" applyFill="1" applyBorder="1" applyAlignment="1" applyProtection="1">
      <alignment horizontal="center" vertical="center"/>
      <protection locked="0"/>
    </xf>
    <xf numFmtId="0" fontId="17" fillId="5" borderId="33" xfId="0" applyFont="1" applyFill="1" applyBorder="1" applyAlignment="1" applyProtection="1">
      <alignment horizontal="center" vertical="center"/>
      <protection locked="0"/>
    </xf>
    <xf numFmtId="0" fontId="17" fillId="5" borderId="27" xfId="0" applyFont="1" applyFill="1" applyBorder="1" applyAlignment="1" applyProtection="1">
      <alignment horizontal="center" vertical="center"/>
      <protection locked="0"/>
    </xf>
    <xf numFmtId="0" fontId="52" fillId="0" borderId="97" xfId="0" applyFont="1" applyBorder="1" applyAlignment="1">
      <alignment horizontal="center" vertical="center" textRotation="90"/>
    </xf>
    <xf numFmtId="0" fontId="52" fillId="0" borderId="98" xfId="0" applyFont="1" applyBorder="1" applyAlignment="1">
      <alignment horizontal="center" vertical="center" textRotation="90"/>
    </xf>
    <xf numFmtId="0" fontId="56" fillId="0" borderId="18" xfId="0" applyFont="1" applyBorder="1" applyAlignment="1">
      <alignment horizontal="center" vertical="center"/>
    </xf>
    <xf numFmtId="0" fontId="50" fillId="5" borderId="24" xfId="0" applyFont="1" applyFill="1" applyBorder="1" applyAlignment="1" applyProtection="1">
      <alignment horizontal="center" vertical="center"/>
      <protection locked="0"/>
    </xf>
    <xf numFmtId="0" fontId="50" fillId="5" borderId="16" xfId="0" applyFont="1" applyFill="1" applyBorder="1" applyAlignment="1" applyProtection="1">
      <alignment horizontal="center" vertical="center"/>
      <protection locked="0"/>
    </xf>
    <xf numFmtId="0" fontId="50" fillId="5" borderId="17" xfId="0" applyFont="1" applyFill="1" applyBorder="1" applyAlignment="1" applyProtection="1">
      <alignment horizontal="center" vertical="center"/>
      <protection locked="0"/>
    </xf>
    <xf numFmtId="0" fontId="50" fillId="5" borderId="23" xfId="0" applyFont="1" applyFill="1" applyBorder="1" applyAlignment="1" applyProtection="1">
      <alignment horizontal="center" vertical="center"/>
      <protection locked="0"/>
    </xf>
    <xf numFmtId="0" fontId="50" fillId="5" borderId="18" xfId="0" applyFont="1" applyFill="1" applyBorder="1" applyAlignment="1" applyProtection="1">
      <alignment horizontal="center" vertical="center"/>
      <protection locked="0"/>
    </xf>
    <xf numFmtId="0" fontId="50" fillId="5" borderId="19" xfId="0" applyFont="1" applyFill="1" applyBorder="1" applyAlignment="1" applyProtection="1">
      <alignment horizontal="center" vertical="center"/>
      <protection locked="0"/>
    </xf>
    <xf numFmtId="0" fontId="45" fillId="0" borderId="0" xfId="0" applyFont="1" applyAlignment="1">
      <alignment horizontal="center" vertical="center" textRotation="90"/>
    </xf>
    <xf numFmtId="0" fontId="45" fillId="8" borderId="82" xfId="0" applyFont="1" applyFill="1" applyBorder="1" applyAlignment="1">
      <alignment horizontal="center" vertical="center"/>
    </xf>
    <xf numFmtId="0" fontId="45" fillId="8" borderId="93" xfId="0" applyFont="1" applyFill="1" applyBorder="1" applyAlignment="1">
      <alignment horizontal="center" vertical="center"/>
    </xf>
    <xf numFmtId="0" fontId="59" fillId="0" borderId="18" xfId="0" applyFont="1" applyBorder="1" applyAlignment="1">
      <alignment horizontal="center" vertical="center"/>
    </xf>
    <xf numFmtId="0" fontId="45" fillId="8" borderId="92" xfId="0" applyFont="1" applyFill="1" applyBorder="1" applyAlignment="1">
      <alignment horizontal="center" vertical="center"/>
    </xf>
    <xf numFmtId="0" fontId="45" fillId="8" borderId="63" xfId="0" applyFont="1" applyFill="1" applyBorder="1" applyAlignment="1">
      <alignment horizontal="center" vertical="center"/>
    </xf>
    <xf numFmtId="0" fontId="57" fillId="8" borderId="0" xfId="0" applyFont="1" applyFill="1" applyBorder="1" applyAlignment="1" applyProtection="1">
      <alignment horizontal="center" vertical="center" wrapText="1"/>
      <protection hidden="1"/>
    </xf>
    <xf numFmtId="0" fontId="57" fillId="8" borderId="0" xfId="0" applyFont="1" applyFill="1" applyBorder="1" applyAlignment="1" applyProtection="1">
      <alignment horizontal="center" vertical="center"/>
      <protection hidden="1"/>
    </xf>
    <xf numFmtId="0" fontId="57" fillId="8" borderId="18" xfId="0" applyFont="1" applyFill="1" applyBorder="1" applyAlignment="1" applyProtection="1">
      <alignment horizontal="center" vertical="center"/>
      <protection hidden="1"/>
    </xf>
    <xf numFmtId="0" fontId="47" fillId="0" borderId="18" xfId="0" applyFont="1" applyBorder="1" applyAlignment="1">
      <alignment horizontal="center" vertical="center"/>
    </xf>
  </cellXfs>
  <cellStyles count="4">
    <cellStyle name="Normal" xfId="0" builtinId="0"/>
    <cellStyle name="Normal 2" xfId="1"/>
    <cellStyle name="Normal 2 2" xfId="3"/>
    <cellStyle name="Normal 3" xfId="2"/>
  </cellStyles>
  <dxfs count="0"/>
  <tableStyles count="0" defaultTableStyle="TableStyleMedium9" defaultPivotStyle="PivotStyleLight16"/>
  <colors>
    <mruColors>
      <color rgb="FF0404F2"/>
      <color rgb="FFFFFF99"/>
      <color rgb="FFF4F5F6"/>
      <color rgb="FFD8D8D8"/>
      <color rgb="FFB3EDBE"/>
      <color rgb="FFF0DFDE"/>
      <color rgb="FFD1FDEB"/>
      <color rgb="FFA8F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24</xdr:col>
      <xdr:colOff>1571625</xdr:colOff>
      <xdr:row>1</xdr:row>
      <xdr:rowOff>76200</xdr:rowOff>
    </xdr:from>
    <xdr:to>
      <xdr:col>29</xdr:col>
      <xdr:colOff>187098</xdr:colOff>
      <xdr:row>3</xdr:row>
      <xdr:rowOff>104775</xdr:rowOff>
    </xdr:to>
    <xdr:pic>
      <xdr:nvPicPr>
        <xdr:cNvPr id="2" name="Imagem 1" descr="LOGO DE.JPG"/>
        <xdr:cNvPicPr>
          <a:picLocks noChangeAspect="1"/>
        </xdr:cNvPicPr>
      </xdr:nvPicPr>
      <xdr:blipFill>
        <a:blip xmlns:r="http://schemas.openxmlformats.org/officeDocument/2006/relationships" r:embed="rId1" cstate="print"/>
        <a:stretch>
          <a:fillRect/>
        </a:stretch>
      </xdr:blipFill>
      <xdr:spPr>
        <a:xfrm>
          <a:off x="10725150" y="190500"/>
          <a:ext cx="1006248" cy="647700"/>
        </a:xfrm>
        <a:prstGeom prst="rect">
          <a:avLst/>
        </a:prstGeom>
      </xdr:spPr>
    </xdr:pic>
    <xdr:clientData/>
  </xdr:twoCellAnchor>
  <xdr:twoCellAnchor editAs="oneCell">
    <xdr:from>
      <xdr:col>78</xdr:col>
      <xdr:colOff>190500</xdr:colOff>
      <xdr:row>100</xdr:row>
      <xdr:rowOff>371475</xdr:rowOff>
    </xdr:from>
    <xdr:to>
      <xdr:col>83</xdr:col>
      <xdr:colOff>101373</xdr:colOff>
      <xdr:row>103</xdr:row>
      <xdr:rowOff>180976</xdr:rowOff>
    </xdr:to>
    <xdr:pic>
      <xdr:nvPicPr>
        <xdr:cNvPr id="3" name="Imagem 2" descr="LOGO DE.JPG"/>
        <xdr:cNvPicPr>
          <a:picLocks noChangeAspect="1"/>
        </xdr:cNvPicPr>
      </xdr:nvPicPr>
      <xdr:blipFill>
        <a:blip xmlns:r="http://schemas.openxmlformats.org/officeDocument/2006/relationships" r:embed="rId1" cstate="print"/>
        <a:stretch>
          <a:fillRect/>
        </a:stretch>
      </xdr:blipFill>
      <xdr:spPr>
        <a:xfrm>
          <a:off x="30861000" y="20031075"/>
          <a:ext cx="1006248" cy="647701"/>
        </a:xfrm>
        <a:prstGeom prst="rect">
          <a:avLst/>
        </a:prstGeom>
      </xdr:spPr>
    </xdr:pic>
    <xdr:clientData/>
  </xdr:twoCellAnchor>
  <xdr:twoCellAnchor editAs="oneCell">
    <xdr:from>
      <xdr:col>79</xdr:col>
      <xdr:colOff>19050</xdr:colOff>
      <xdr:row>126</xdr:row>
      <xdr:rowOff>371475</xdr:rowOff>
    </xdr:from>
    <xdr:to>
      <xdr:col>83</xdr:col>
      <xdr:colOff>148998</xdr:colOff>
      <xdr:row>129</xdr:row>
      <xdr:rowOff>180975</xdr:rowOff>
    </xdr:to>
    <xdr:pic>
      <xdr:nvPicPr>
        <xdr:cNvPr id="4" name="Imagem 3" descr="LOGO DE.JPG"/>
        <xdr:cNvPicPr>
          <a:picLocks noChangeAspect="1"/>
        </xdr:cNvPicPr>
      </xdr:nvPicPr>
      <xdr:blipFill>
        <a:blip xmlns:r="http://schemas.openxmlformats.org/officeDocument/2006/relationships" r:embed="rId1" cstate="print"/>
        <a:stretch>
          <a:fillRect/>
        </a:stretch>
      </xdr:blipFill>
      <xdr:spPr>
        <a:xfrm>
          <a:off x="30908625" y="28127325"/>
          <a:ext cx="1006248" cy="64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1571625</xdr:colOff>
      <xdr:row>1</xdr:row>
      <xdr:rowOff>76200</xdr:rowOff>
    </xdr:from>
    <xdr:to>
      <xdr:col>29</xdr:col>
      <xdr:colOff>187098</xdr:colOff>
      <xdr:row>3</xdr:row>
      <xdr:rowOff>104775</xdr:rowOff>
    </xdr:to>
    <xdr:pic>
      <xdr:nvPicPr>
        <xdr:cNvPr id="2" name="Imagem 1" descr="LOGO DE.JPG"/>
        <xdr:cNvPicPr>
          <a:picLocks noChangeAspect="1"/>
        </xdr:cNvPicPr>
      </xdr:nvPicPr>
      <xdr:blipFill>
        <a:blip xmlns:r="http://schemas.openxmlformats.org/officeDocument/2006/relationships" r:embed="rId1" cstate="print"/>
        <a:stretch>
          <a:fillRect/>
        </a:stretch>
      </xdr:blipFill>
      <xdr:spPr>
        <a:xfrm>
          <a:off x="10725150" y="190500"/>
          <a:ext cx="1006248" cy="647700"/>
        </a:xfrm>
        <a:prstGeom prst="rect">
          <a:avLst/>
        </a:prstGeom>
      </xdr:spPr>
    </xdr:pic>
    <xdr:clientData/>
  </xdr:twoCellAnchor>
  <xdr:twoCellAnchor editAs="oneCell">
    <xdr:from>
      <xdr:col>78</xdr:col>
      <xdr:colOff>190500</xdr:colOff>
      <xdr:row>100</xdr:row>
      <xdr:rowOff>371475</xdr:rowOff>
    </xdr:from>
    <xdr:to>
      <xdr:col>83</xdr:col>
      <xdr:colOff>101373</xdr:colOff>
      <xdr:row>103</xdr:row>
      <xdr:rowOff>180976</xdr:rowOff>
    </xdr:to>
    <xdr:pic>
      <xdr:nvPicPr>
        <xdr:cNvPr id="3" name="Imagem 2" descr="LOGO DE.JPG"/>
        <xdr:cNvPicPr>
          <a:picLocks noChangeAspect="1"/>
        </xdr:cNvPicPr>
      </xdr:nvPicPr>
      <xdr:blipFill>
        <a:blip xmlns:r="http://schemas.openxmlformats.org/officeDocument/2006/relationships" r:embed="rId1" cstate="print"/>
        <a:stretch>
          <a:fillRect/>
        </a:stretch>
      </xdr:blipFill>
      <xdr:spPr>
        <a:xfrm>
          <a:off x="30861000" y="20031075"/>
          <a:ext cx="1006248" cy="647701"/>
        </a:xfrm>
        <a:prstGeom prst="rect">
          <a:avLst/>
        </a:prstGeom>
      </xdr:spPr>
    </xdr:pic>
    <xdr:clientData/>
  </xdr:twoCellAnchor>
  <xdr:twoCellAnchor editAs="oneCell">
    <xdr:from>
      <xdr:col>79</xdr:col>
      <xdr:colOff>19050</xdr:colOff>
      <xdr:row>126</xdr:row>
      <xdr:rowOff>371475</xdr:rowOff>
    </xdr:from>
    <xdr:to>
      <xdr:col>83</xdr:col>
      <xdr:colOff>148998</xdr:colOff>
      <xdr:row>129</xdr:row>
      <xdr:rowOff>180975</xdr:rowOff>
    </xdr:to>
    <xdr:pic>
      <xdr:nvPicPr>
        <xdr:cNvPr id="4" name="Imagem 3" descr="LOGO DE.JPG"/>
        <xdr:cNvPicPr>
          <a:picLocks noChangeAspect="1"/>
        </xdr:cNvPicPr>
      </xdr:nvPicPr>
      <xdr:blipFill>
        <a:blip xmlns:r="http://schemas.openxmlformats.org/officeDocument/2006/relationships" r:embed="rId1" cstate="print"/>
        <a:stretch>
          <a:fillRect/>
        </a:stretch>
      </xdr:blipFill>
      <xdr:spPr>
        <a:xfrm>
          <a:off x="30908625" y="28127325"/>
          <a:ext cx="1006248" cy="64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1571625</xdr:colOff>
      <xdr:row>1</xdr:row>
      <xdr:rowOff>76200</xdr:rowOff>
    </xdr:from>
    <xdr:to>
      <xdr:col>29</xdr:col>
      <xdr:colOff>187098</xdr:colOff>
      <xdr:row>3</xdr:row>
      <xdr:rowOff>104775</xdr:rowOff>
    </xdr:to>
    <xdr:pic>
      <xdr:nvPicPr>
        <xdr:cNvPr id="2" name="Imagem 1" descr="LOGO DE.JPG"/>
        <xdr:cNvPicPr>
          <a:picLocks noChangeAspect="1"/>
        </xdr:cNvPicPr>
      </xdr:nvPicPr>
      <xdr:blipFill>
        <a:blip xmlns:r="http://schemas.openxmlformats.org/officeDocument/2006/relationships" r:embed="rId1" cstate="print"/>
        <a:stretch>
          <a:fillRect/>
        </a:stretch>
      </xdr:blipFill>
      <xdr:spPr>
        <a:xfrm>
          <a:off x="10725150" y="190500"/>
          <a:ext cx="1006248" cy="647700"/>
        </a:xfrm>
        <a:prstGeom prst="rect">
          <a:avLst/>
        </a:prstGeom>
      </xdr:spPr>
    </xdr:pic>
    <xdr:clientData/>
  </xdr:twoCellAnchor>
  <xdr:twoCellAnchor editAs="oneCell">
    <xdr:from>
      <xdr:col>78</xdr:col>
      <xdr:colOff>190500</xdr:colOff>
      <xdr:row>100</xdr:row>
      <xdr:rowOff>371475</xdr:rowOff>
    </xdr:from>
    <xdr:to>
      <xdr:col>83</xdr:col>
      <xdr:colOff>101372</xdr:colOff>
      <xdr:row>103</xdr:row>
      <xdr:rowOff>180976</xdr:rowOff>
    </xdr:to>
    <xdr:pic>
      <xdr:nvPicPr>
        <xdr:cNvPr id="3" name="Imagem 2" descr="LOGO DE.JPG"/>
        <xdr:cNvPicPr>
          <a:picLocks noChangeAspect="1"/>
        </xdr:cNvPicPr>
      </xdr:nvPicPr>
      <xdr:blipFill>
        <a:blip xmlns:r="http://schemas.openxmlformats.org/officeDocument/2006/relationships" r:embed="rId1" cstate="print"/>
        <a:stretch>
          <a:fillRect/>
        </a:stretch>
      </xdr:blipFill>
      <xdr:spPr>
        <a:xfrm>
          <a:off x="33299400" y="20031075"/>
          <a:ext cx="1006248" cy="647701"/>
        </a:xfrm>
        <a:prstGeom prst="rect">
          <a:avLst/>
        </a:prstGeom>
      </xdr:spPr>
    </xdr:pic>
    <xdr:clientData/>
  </xdr:twoCellAnchor>
  <xdr:twoCellAnchor editAs="oneCell">
    <xdr:from>
      <xdr:col>79</xdr:col>
      <xdr:colOff>19050</xdr:colOff>
      <xdr:row>126</xdr:row>
      <xdr:rowOff>371475</xdr:rowOff>
    </xdr:from>
    <xdr:to>
      <xdr:col>83</xdr:col>
      <xdr:colOff>148998</xdr:colOff>
      <xdr:row>129</xdr:row>
      <xdr:rowOff>180975</xdr:rowOff>
    </xdr:to>
    <xdr:pic>
      <xdr:nvPicPr>
        <xdr:cNvPr id="4" name="Imagem 3" descr="LOGO DE.JPG"/>
        <xdr:cNvPicPr>
          <a:picLocks noChangeAspect="1"/>
        </xdr:cNvPicPr>
      </xdr:nvPicPr>
      <xdr:blipFill>
        <a:blip xmlns:r="http://schemas.openxmlformats.org/officeDocument/2006/relationships" r:embed="rId1" cstate="print"/>
        <a:stretch>
          <a:fillRect/>
        </a:stretch>
      </xdr:blipFill>
      <xdr:spPr>
        <a:xfrm>
          <a:off x="33347025" y="28127325"/>
          <a:ext cx="1006248" cy="647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1571625</xdr:colOff>
      <xdr:row>1</xdr:row>
      <xdr:rowOff>76200</xdr:rowOff>
    </xdr:from>
    <xdr:to>
      <xdr:col>29</xdr:col>
      <xdr:colOff>187098</xdr:colOff>
      <xdr:row>3</xdr:row>
      <xdr:rowOff>104775</xdr:rowOff>
    </xdr:to>
    <xdr:pic>
      <xdr:nvPicPr>
        <xdr:cNvPr id="2" name="Imagem 1" descr="LOGO DE.JPG"/>
        <xdr:cNvPicPr>
          <a:picLocks noChangeAspect="1"/>
        </xdr:cNvPicPr>
      </xdr:nvPicPr>
      <xdr:blipFill>
        <a:blip xmlns:r="http://schemas.openxmlformats.org/officeDocument/2006/relationships" r:embed="rId1" cstate="print"/>
        <a:stretch>
          <a:fillRect/>
        </a:stretch>
      </xdr:blipFill>
      <xdr:spPr>
        <a:xfrm>
          <a:off x="10725150" y="190500"/>
          <a:ext cx="1006248" cy="647700"/>
        </a:xfrm>
        <a:prstGeom prst="rect">
          <a:avLst/>
        </a:prstGeom>
      </xdr:spPr>
    </xdr:pic>
    <xdr:clientData/>
  </xdr:twoCellAnchor>
  <xdr:twoCellAnchor editAs="oneCell">
    <xdr:from>
      <xdr:col>78</xdr:col>
      <xdr:colOff>190500</xdr:colOff>
      <xdr:row>100</xdr:row>
      <xdr:rowOff>371475</xdr:rowOff>
    </xdr:from>
    <xdr:to>
      <xdr:col>83</xdr:col>
      <xdr:colOff>101373</xdr:colOff>
      <xdr:row>103</xdr:row>
      <xdr:rowOff>180976</xdr:rowOff>
    </xdr:to>
    <xdr:pic>
      <xdr:nvPicPr>
        <xdr:cNvPr id="3" name="Imagem 2" descr="LOGO DE.JPG"/>
        <xdr:cNvPicPr>
          <a:picLocks noChangeAspect="1"/>
        </xdr:cNvPicPr>
      </xdr:nvPicPr>
      <xdr:blipFill>
        <a:blip xmlns:r="http://schemas.openxmlformats.org/officeDocument/2006/relationships" r:embed="rId1" cstate="print"/>
        <a:stretch>
          <a:fillRect/>
        </a:stretch>
      </xdr:blipFill>
      <xdr:spPr>
        <a:xfrm>
          <a:off x="33299400" y="20031075"/>
          <a:ext cx="1006248" cy="647701"/>
        </a:xfrm>
        <a:prstGeom prst="rect">
          <a:avLst/>
        </a:prstGeom>
      </xdr:spPr>
    </xdr:pic>
    <xdr:clientData/>
  </xdr:twoCellAnchor>
  <xdr:twoCellAnchor editAs="oneCell">
    <xdr:from>
      <xdr:col>79</xdr:col>
      <xdr:colOff>19050</xdr:colOff>
      <xdr:row>126</xdr:row>
      <xdr:rowOff>371475</xdr:rowOff>
    </xdr:from>
    <xdr:to>
      <xdr:col>83</xdr:col>
      <xdr:colOff>148998</xdr:colOff>
      <xdr:row>129</xdr:row>
      <xdr:rowOff>180975</xdr:rowOff>
    </xdr:to>
    <xdr:pic>
      <xdr:nvPicPr>
        <xdr:cNvPr id="4" name="Imagem 3" descr="LOGO DE.JPG"/>
        <xdr:cNvPicPr>
          <a:picLocks noChangeAspect="1"/>
        </xdr:cNvPicPr>
      </xdr:nvPicPr>
      <xdr:blipFill>
        <a:blip xmlns:r="http://schemas.openxmlformats.org/officeDocument/2006/relationships" r:embed="rId1" cstate="print"/>
        <a:stretch>
          <a:fillRect/>
        </a:stretch>
      </xdr:blipFill>
      <xdr:spPr>
        <a:xfrm>
          <a:off x="33347025" y="28127325"/>
          <a:ext cx="1006248" cy="647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24</xdr:col>
      <xdr:colOff>1571625</xdr:colOff>
      <xdr:row>1</xdr:row>
      <xdr:rowOff>76200</xdr:rowOff>
    </xdr:from>
    <xdr:to>
      <xdr:col>29</xdr:col>
      <xdr:colOff>187098</xdr:colOff>
      <xdr:row>3</xdr:row>
      <xdr:rowOff>104775</xdr:rowOff>
    </xdr:to>
    <xdr:pic>
      <xdr:nvPicPr>
        <xdr:cNvPr id="2" name="Imagem 1" descr="LOGO DE.JPG"/>
        <xdr:cNvPicPr>
          <a:picLocks noChangeAspect="1"/>
        </xdr:cNvPicPr>
      </xdr:nvPicPr>
      <xdr:blipFill>
        <a:blip xmlns:r="http://schemas.openxmlformats.org/officeDocument/2006/relationships" r:embed="rId1" cstate="print"/>
        <a:stretch>
          <a:fillRect/>
        </a:stretch>
      </xdr:blipFill>
      <xdr:spPr>
        <a:xfrm>
          <a:off x="10725150" y="190500"/>
          <a:ext cx="1006248" cy="647700"/>
        </a:xfrm>
        <a:prstGeom prst="rect">
          <a:avLst/>
        </a:prstGeom>
      </xdr:spPr>
    </xdr:pic>
    <xdr:clientData/>
  </xdr:twoCellAnchor>
  <xdr:twoCellAnchor editAs="oneCell">
    <xdr:from>
      <xdr:col>78</xdr:col>
      <xdr:colOff>190500</xdr:colOff>
      <xdr:row>100</xdr:row>
      <xdr:rowOff>371475</xdr:rowOff>
    </xdr:from>
    <xdr:to>
      <xdr:col>83</xdr:col>
      <xdr:colOff>101373</xdr:colOff>
      <xdr:row>103</xdr:row>
      <xdr:rowOff>180976</xdr:rowOff>
    </xdr:to>
    <xdr:pic>
      <xdr:nvPicPr>
        <xdr:cNvPr id="3" name="Imagem 2" descr="LOGO DE.JPG"/>
        <xdr:cNvPicPr>
          <a:picLocks noChangeAspect="1"/>
        </xdr:cNvPicPr>
      </xdr:nvPicPr>
      <xdr:blipFill>
        <a:blip xmlns:r="http://schemas.openxmlformats.org/officeDocument/2006/relationships" r:embed="rId1" cstate="print"/>
        <a:stretch>
          <a:fillRect/>
        </a:stretch>
      </xdr:blipFill>
      <xdr:spPr>
        <a:xfrm>
          <a:off x="33299400" y="20031075"/>
          <a:ext cx="1006248" cy="647701"/>
        </a:xfrm>
        <a:prstGeom prst="rect">
          <a:avLst/>
        </a:prstGeom>
      </xdr:spPr>
    </xdr:pic>
    <xdr:clientData/>
  </xdr:twoCellAnchor>
  <xdr:twoCellAnchor editAs="oneCell">
    <xdr:from>
      <xdr:col>79</xdr:col>
      <xdr:colOff>19050</xdr:colOff>
      <xdr:row>126</xdr:row>
      <xdr:rowOff>371475</xdr:rowOff>
    </xdr:from>
    <xdr:to>
      <xdr:col>83</xdr:col>
      <xdr:colOff>148998</xdr:colOff>
      <xdr:row>129</xdr:row>
      <xdr:rowOff>180975</xdr:rowOff>
    </xdr:to>
    <xdr:pic>
      <xdr:nvPicPr>
        <xdr:cNvPr id="4" name="Imagem 3" descr="LOGO DE.JPG"/>
        <xdr:cNvPicPr>
          <a:picLocks noChangeAspect="1"/>
        </xdr:cNvPicPr>
      </xdr:nvPicPr>
      <xdr:blipFill>
        <a:blip xmlns:r="http://schemas.openxmlformats.org/officeDocument/2006/relationships" r:embed="rId1" cstate="print"/>
        <a:stretch>
          <a:fillRect/>
        </a:stretch>
      </xdr:blipFill>
      <xdr:spPr>
        <a:xfrm>
          <a:off x="33347025" y="28127325"/>
          <a:ext cx="1006248" cy="6477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Folha2"/>
  <dimension ref="A1:A18"/>
  <sheetViews>
    <sheetView tabSelected="1" workbookViewId="0">
      <selection activeCell="A11" sqref="A11"/>
    </sheetView>
  </sheetViews>
  <sheetFormatPr defaultRowHeight="15"/>
  <cols>
    <col min="1" max="1" width="132.5703125" customWidth="1"/>
  </cols>
  <sheetData>
    <row r="1" spans="1:1" ht="7.5" customHeight="1">
      <c r="A1" s="185"/>
    </row>
    <row r="2" spans="1:1" s="225" customFormat="1" ht="15.75">
      <c r="A2" s="249" t="s">
        <v>240</v>
      </c>
    </row>
    <row r="3" spans="1:1" s="225" customFormat="1"/>
    <row r="4" spans="1:1" s="225" customFormat="1" ht="30">
      <c r="A4" s="225" t="s">
        <v>430</v>
      </c>
    </row>
    <row r="5" spans="1:1" s="225" customFormat="1"/>
    <row r="6" spans="1:1" s="225" customFormat="1" ht="60">
      <c r="A6" s="225" t="s">
        <v>413</v>
      </c>
    </row>
    <row r="7" spans="1:1" s="225" customFormat="1"/>
    <row r="8" spans="1:1" s="225" customFormat="1" ht="60">
      <c r="A8" s="226" t="s">
        <v>431</v>
      </c>
    </row>
    <row r="9" spans="1:1" s="225" customFormat="1">
      <c r="A9" s="226"/>
    </row>
    <row r="10" spans="1:1" s="225" customFormat="1" ht="120">
      <c r="A10" s="247" t="s">
        <v>432</v>
      </c>
    </row>
    <row r="11" spans="1:1" s="225" customFormat="1"/>
    <row r="12" spans="1:1" s="225" customFormat="1" ht="45">
      <c r="A12" s="225" t="s">
        <v>414</v>
      </c>
    </row>
    <row r="13" spans="1:1" s="225" customFormat="1"/>
    <row r="14" spans="1:1" s="225" customFormat="1">
      <c r="A14" s="225" t="s">
        <v>249</v>
      </c>
    </row>
    <row r="15" spans="1:1" s="225" customFormat="1" ht="28.5" customHeight="1">
      <c r="A15" s="248" t="s">
        <v>250</v>
      </c>
    </row>
    <row r="16" spans="1:1" s="225" customFormat="1"/>
    <row r="17" s="225" customFormat="1"/>
    <row r="18" s="225" customFormat="1"/>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Folha6">
    <pageSetUpPr fitToPage="1"/>
  </sheetPr>
  <dimension ref="A1:F20"/>
  <sheetViews>
    <sheetView zoomScale="80" zoomScaleNormal="80" workbookViewId="0">
      <pane xSplit="1" ySplit="4" topLeftCell="B5" activePane="bottomRight" state="frozen"/>
      <selection pane="topRight" activeCell="B1" sqref="B1"/>
      <selection pane="bottomLeft" activeCell="A5" sqref="A5"/>
      <selection pane="bottomRight" activeCell="B2" sqref="B2:F3"/>
    </sheetView>
  </sheetViews>
  <sheetFormatPr defaultRowHeight="15"/>
  <cols>
    <col min="1" max="1" width="6" style="250" customWidth="1"/>
    <col min="2" max="3" width="41.28515625" style="250" customWidth="1"/>
    <col min="4" max="6" width="48.140625" style="250" customWidth="1"/>
    <col min="7" max="7" width="9.140625" style="250"/>
    <col min="8" max="8" width="69" style="250" customWidth="1"/>
    <col min="9" max="16384" width="9.140625" style="250"/>
  </cols>
  <sheetData>
    <row r="1" spans="1:6" ht="12" customHeight="1">
      <c r="B1" s="255"/>
      <c r="C1" s="256"/>
      <c r="D1" s="255"/>
      <c r="E1" s="256"/>
      <c r="F1" s="255"/>
    </row>
    <row r="2" spans="1:6" ht="26.25" customHeight="1">
      <c r="B2" s="504" t="s">
        <v>261</v>
      </c>
      <c r="C2" s="505"/>
      <c r="D2" s="505"/>
      <c r="E2" s="505"/>
      <c r="F2" s="505"/>
    </row>
    <row r="3" spans="1:6" ht="53.25" customHeight="1" thickBot="1">
      <c r="B3" s="506"/>
      <c r="C3" s="506"/>
      <c r="D3" s="506"/>
      <c r="E3" s="506"/>
      <c r="F3" s="506"/>
    </row>
    <row r="4" spans="1:6" ht="44.25" customHeight="1" thickBot="1">
      <c r="B4" s="257" t="s">
        <v>222</v>
      </c>
      <c r="C4" s="257" t="s">
        <v>61</v>
      </c>
      <c r="D4" s="257" t="s">
        <v>221</v>
      </c>
      <c r="E4" s="257" t="s">
        <v>62</v>
      </c>
      <c r="F4" s="257" t="s">
        <v>63</v>
      </c>
    </row>
    <row r="5" spans="1:6" ht="42.75" customHeight="1">
      <c r="A5" s="186" t="s">
        <v>1</v>
      </c>
      <c r="B5" s="258" t="s">
        <v>262</v>
      </c>
      <c r="C5" s="258"/>
      <c r="D5" s="258"/>
      <c r="E5" s="258"/>
      <c r="F5" s="258"/>
    </row>
    <row r="6" spans="1:6" ht="42.75" customHeight="1">
      <c r="A6" s="186" t="s">
        <v>2</v>
      </c>
      <c r="B6" s="220"/>
      <c r="C6" s="220"/>
      <c r="D6" s="220"/>
      <c r="E6" s="220"/>
      <c r="F6" s="220"/>
    </row>
    <row r="7" spans="1:6" ht="42.75" customHeight="1" thickBot="1">
      <c r="A7" s="219" t="s">
        <v>3</v>
      </c>
      <c r="B7" s="221"/>
      <c r="C7" s="221"/>
      <c r="D7" s="221"/>
      <c r="E7" s="221"/>
      <c r="F7" s="221"/>
    </row>
    <row r="8" spans="1:6" ht="32.25" customHeight="1" thickTop="1">
      <c r="A8" s="224" t="s">
        <v>4</v>
      </c>
      <c r="B8" s="222"/>
      <c r="C8" s="222"/>
      <c r="D8" s="222"/>
      <c r="E8" s="222"/>
      <c r="F8" s="222"/>
    </row>
    <row r="9" spans="1:6" ht="32.25" customHeight="1">
      <c r="A9" s="224" t="s">
        <v>36</v>
      </c>
      <c r="B9" s="223"/>
      <c r="C9" s="223"/>
      <c r="D9" s="223"/>
      <c r="E9" s="223"/>
      <c r="F9" s="223"/>
    </row>
    <row r="10" spans="1:6" ht="32.25" customHeight="1">
      <c r="A10" s="224" t="s">
        <v>37</v>
      </c>
      <c r="B10" s="223"/>
      <c r="C10" s="223"/>
      <c r="D10" s="223"/>
      <c r="E10" s="223"/>
      <c r="F10" s="223"/>
    </row>
    <row r="11" spans="1:6" ht="32.25" customHeight="1">
      <c r="A11" s="224" t="s">
        <v>38</v>
      </c>
      <c r="B11" s="223"/>
      <c r="C11" s="223"/>
      <c r="D11" s="223"/>
      <c r="E11" s="223"/>
      <c r="F11" s="223"/>
    </row>
    <row r="12" spans="1:6" ht="32.25" customHeight="1">
      <c r="A12" s="224" t="s">
        <v>39</v>
      </c>
      <c r="B12" s="223"/>
      <c r="C12" s="223"/>
      <c r="D12" s="223"/>
      <c r="E12" s="223"/>
      <c r="F12" s="223"/>
    </row>
    <row r="13" spans="1:6" ht="32.25" customHeight="1">
      <c r="A13" s="224" t="s">
        <v>56</v>
      </c>
      <c r="B13" s="223"/>
      <c r="C13" s="223"/>
      <c r="D13" s="223"/>
      <c r="E13" s="223"/>
      <c r="F13" s="223"/>
    </row>
    <row r="14" spans="1:6" ht="32.25" customHeight="1">
      <c r="A14" s="224" t="s">
        <v>57</v>
      </c>
      <c r="B14" s="223"/>
      <c r="C14" s="223"/>
      <c r="D14" s="223"/>
      <c r="E14" s="223"/>
      <c r="F14" s="223"/>
    </row>
    <row r="15" spans="1:6" ht="32.25" customHeight="1">
      <c r="A15" s="224" t="s">
        <v>58</v>
      </c>
      <c r="B15" s="243"/>
      <c r="C15" s="243"/>
      <c r="D15" s="243"/>
      <c r="E15" s="243"/>
      <c r="F15" s="243"/>
    </row>
    <row r="16" spans="1:6" ht="32.25" customHeight="1">
      <c r="A16" s="224" t="s">
        <v>59</v>
      </c>
      <c r="B16" s="246"/>
      <c r="C16" s="246"/>
      <c r="D16" s="245"/>
      <c r="E16" s="245"/>
      <c r="F16" s="245"/>
    </row>
    <row r="17" spans="1:6" ht="32.25" customHeight="1">
      <c r="A17" s="224" t="s">
        <v>242</v>
      </c>
      <c r="B17" s="245"/>
      <c r="C17" s="245"/>
      <c r="D17" s="243"/>
      <c r="E17" s="243"/>
      <c r="F17" s="243"/>
    </row>
    <row r="18" spans="1:6" ht="32.25" customHeight="1">
      <c r="A18" s="224" t="s">
        <v>243</v>
      </c>
      <c r="B18" s="243"/>
      <c r="C18" s="243"/>
      <c r="D18" s="245"/>
      <c r="E18" s="245"/>
      <c r="F18" s="245"/>
    </row>
    <row r="19" spans="1:6" ht="32.25" customHeight="1">
      <c r="A19" s="224" t="s">
        <v>244</v>
      </c>
      <c r="B19" s="243"/>
      <c r="C19" s="243"/>
      <c r="D19" s="243"/>
      <c r="E19" s="243"/>
      <c r="F19" s="243"/>
    </row>
    <row r="20" spans="1:6" ht="32.25" customHeight="1" thickBot="1">
      <c r="A20" s="224" t="s">
        <v>59</v>
      </c>
      <c r="B20" s="244"/>
      <c r="C20" s="244"/>
      <c r="D20" s="244"/>
      <c r="E20" s="244"/>
      <c r="F20" s="244"/>
    </row>
  </sheetData>
  <mergeCells count="1">
    <mergeCell ref="B2:F3"/>
  </mergeCells>
  <printOptions horizontalCentered="1" verticalCentered="1"/>
  <pageMargins left="0.70866141732283472" right="0.70866141732283472" top="0.74803149606299213" bottom="0.74803149606299213" header="0.31496062992125984" footer="0.31496062992125984"/>
  <pageSetup paperSize="9" scale="57" orientation="landscape" r:id="rId1"/>
</worksheet>
</file>

<file path=xl/worksheets/sheet11.xml><?xml version="1.0" encoding="utf-8"?>
<worksheet xmlns="http://schemas.openxmlformats.org/spreadsheetml/2006/main" xmlns:r="http://schemas.openxmlformats.org/officeDocument/2006/relationships">
  <sheetPr codeName="Folha7">
    <pageSetUpPr fitToPage="1"/>
  </sheetPr>
  <dimension ref="A1:K30"/>
  <sheetViews>
    <sheetView workbookViewId="0">
      <selection activeCell="K4" sqref="K4"/>
    </sheetView>
  </sheetViews>
  <sheetFormatPr defaultRowHeight="15"/>
  <cols>
    <col min="1" max="1" width="5.7109375" customWidth="1"/>
    <col min="2" max="2" width="6" customWidth="1"/>
    <col min="3" max="6" width="11.7109375" customWidth="1"/>
    <col min="7" max="7" width="11.7109375" style="184" customWidth="1"/>
    <col min="8" max="10" width="11.7109375" customWidth="1"/>
    <col min="11" max="11" width="4.85546875" customWidth="1"/>
  </cols>
  <sheetData>
    <row r="1" spans="1:11" s="184" customFormat="1" ht="27.75" customHeight="1" thickBot="1">
      <c r="C1" s="507" t="s">
        <v>220</v>
      </c>
      <c r="D1" s="507"/>
      <c r="E1" s="507"/>
      <c r="F1" s="507"/>
      <c r="G1" s="507"/>
      <c r="H1" s="507"/>
      <c r="I1" s="507"/>
    </row>
    <row r="2" spans="1:11" ht="21" customHeight="1" thickBot="1">
      <c r="B2" s="191"/>
      <c r="C2" s="192" t="s">
        <v>64</v>
      </c>
      <c r="D2" s="195" t="s">
        <v>65</v>
      </c>
      <c r="E2" s="195" t="s">
        <v>66</v>
      </c>
      <c r="F2" s="195" t="s">
        <v>67</v>
      </c>
      <c r="G2" s="195" t="s">
        <v>68</v>
      </c>
      <c r="H2" s="195" t="s">
        <v>69</v>
      </c>
      <c r="I2" s="196" t="s">
        <v>70</v>
      </c>
      <c r="J2" s="187"/>
    </row>
    <row r="3" spans="1:11">
      <c r="A3" s="498" t="s">
        <v>71</v>
      </c>
      <c r="B3" s="188">
        <v>0.375</v>
      </c>
      <c r="C3" s="201" t="s">
        <v>75</v>
      </c>
      <c r="D3" s="201" t="s">
        <v>76</v>
      </c>
      <c r="E3" s="201" t="s">
        <v>77</v>
      </c>
      <c r="F3" s="201" t="s">
        <v>78</v>
      </c>
      <c r="G3" s="204" t="s">
        <v>104</v>
      </c>
      <c r="H3" s="204" t="s">
        <v>105</v>
      </c>
      <c r="I3" s="205" t="s">
        <v>106</v>
      </c>
      <c r="K3" s="203" t="s">
        <v>87</v>
      </c>
    </row>
    <row r="4" spans="1:11">
      <c r="A4" s="498"/>
      <c r="B4" s="189">
        <v>0.39583333333333331</v>
      </c>
      <c r="C4" s="206" t="s">
        <v>107</v>
      </c>
      <c r="D4" s="202" t="s">
        <v>79</v>
      </c>
      <c r="E4" s="202" t="s">
        <v>80</v>
      </c>
      <c r="F4" s="202" t="s">
        <v>81</v>
      </c>
      <c r="G4" s="202" t="s">
        <v>82</v>
      </c>
      <c r="H4" s="206" t="s">
        <v>112</v>
      </c>
      <c r="I4" s="215" t="s">
        <v>113</v>
      </c>
      <c r="K4" s="207" t="s">
        <v>108</v>
      </c>
    </row>
    <row r="5" spans="1:11">
      <c r="A5" s="498"/>
      <c r="B5" s="189">
        <v>0.41666666666666669</v>
      </c>
      <c r="C5" s="206" t="s">
        <v>114</v>
      </c>
      <c r="D5" s="206" t="s">
        <v>115</v>
      </c>
      <c r="E5" s="202" t="s">
        <v>83</v>
      </c>
      <c r="F5" s="202" t="s">
        <v>84</v>
      </c>
      <c r="G5" s="202" t="s">
        <v>85</v>
      </c>
      <c r="H5" s="202" t="s">
        <v>86</v>
      </c>
      <c r="I5" s="215" t="s">
        <v>116</v>
      </c>
      <c r="K5" s="208" t="s">
        <v>109</v>
      </c>
    </row>
    <row r="6" spans="1:11">
      <c r="A6" s="498"/>
      <c r="B6" s="189">
        <v>0.4375</v>
      </c>
      <c r="C6" s="206" t="s">
        <v>117</v>
      </c>
      <c r="D6" s="206" t="s">
        <v>118</v>
      </c>
      <c r="E6" s="206" t="s">
        <v>119</v>
      </c>
      <c r="F6" s="211" t="s">
        <v>136</v>
      </c>
      <c r="G6" s="211" t="s">
        <v>137</v>
      </c>
      <c r="H6" s="211" t="s">
        <v>138</v>
      </c>
      <c r="I6" s="216" t="s">
        <v>139</v>
      </c>
      <c r="K6" s="209" t="s">
        <v>110</v>
      </c>
    </row>
    <row r="7" spans="1:11">
      <c r="A7" s="498"/>
      <c r="B7" s="189">
        <v>0.45833333333333331</v>
      </c>
      <c r="C7" s="212" t="s">
        <v>164</v>
      </c>
      <c r="D7" s="212" t="s">
        <v>165</v>
      </c>
      <c r="E7" s="212" t="s">
        <v>166</v>
      </c>
      <c r="F7" s="212" t="s">
        <v>167</v>
      </c>
      <c r="G7" s="213" t="s">
        <v>192</v>
      </c>
      <c r="H7" s="213" t="s">
        <v>193</v>
      </c>
      <c r="I7" s="217" t="s">
        <v>194</v>
      </c>
      <c r="K7" s="210" t="s">
        <v>111</v>
      </c>
    </row>
    <row r="8" spans="1:11">
      <c r="A8" s="498"/>
      <c r="B8" s="189">
        <v>0.47916666666666669</v>
      </c>
      <c r="C8" s="213" t="s">
        <v>195</v>
      </c>
      <c r="D8" s="202" t="s">
        <v>88</v>
      </c>
      <c r="E8" s="202" t="s">
        <v>89</v>
      </c>
      <c r="F8" s="202" t="s">
        <v>90</v>
      </c>
      <c r="G8" s="202" t="s">
        <v>91</v>
      </c>
      <c r="H8" s="206" t="s">
        <v>120</v>
      </c>
      <c r="I8" s="215" t="s">
        <v>121</v>
      </c>
    </row>
    <row r="9" spans="1:11">
      <c r="A9" s="498"/>
      <c r="B9" s="189">
        <v>0.5</v>
      </c>
      <c r="C9" s="206" t="s">
        <v>122</v>
      </c>
      <c r="D9" s="206" t="s">
        <v>123</v>
      </c>
      <c r="E9" s="211" t="s">
        <v>140</v>
      </c>
      <c r="F9" s="211" t="s">
        <v>141</v>
      </c>
      <c r="G9" s="211" t="s">
        <v>142</v>
      </c>
      <c r="H9" s="211" t="s">
        <v>143</v>
      </c>
      <c r="I9" s="218" t="s">
        <v>168</v>
      </c>
    </row>
    <row r="10" spans="1:11">
      <c r="A10" s="498"/>
      <c r="B10" s="189">
        <v>0.52083333333333337</v>
      </c>
      <c r="C10" s="212" t="s">
        <v>169</v>
      </c>
      <c r="D10" s="212" t="s">
        <v>170</v>
      </c>
      <c r="E10" s="212" t="s">
        <v>171</v>
      </c>
      <c r="F10" s="213" t="s">
        <v>196</v>
      </c>
      <c r="G10" s="213" t="s">
        <v>197</v>
      </c>
      <c r="H10" s="213" t="s">
        <v>198</v>
      </c>
      <c r="I10" s="217" t="s">
        <v>199</v>
      </c>
    </row>
    <row r="11" spans="1:11" ht="7.5" customHeight="1">
      <c r="B11" s="199"/>
      <c r="C11" s="200"/>
      <c r="D11" s="200"/>
      <c r="E11" s="200"/>
      <c r="F11" s="200"/>
      <c r="G11" s="200"/>
      <c r="H11" s="200"/>
      <c r="I11" s="200"/>
    </row>
    <row r="12" spans="1:11" ht="15" customHeight="1">
      <c r="A12" s="498" t="s">
        <v>72</v>
      </c>
      <c r="B12" s="189">
        <v>0.58333333333333337</v>
      </c>
      <c r="C12" s="211" t="s">
        <v>144</v>
      </c>
      <c r="D12" s="211" t="s">
        <v>145</v>
      </c>
      <c r="E12" s="211" t="s">
        <v>146</v>
      </c>
      <c r="F12" s="211" t="s">
        <v>147</v>
      </c>
      <c r="G12" s="212" t="s">
        <v>172</v>
      </c>
      <c r="H12" s="212" t="s">
        <v>173</v>
      </c>
      <c r="I12" s="218" t="s">
        <v>174</v>
      </c>
    </row>
    <row r="13" spans="1:11">
      <c r="A13" s="498"/>
      <c r="B13" s="189">
        <v>0.60416666666666663</v>
      </c>
      <c r="C13" s="212" t="s">
        <v>175</v>
      </c>
      <c r="D13" s="213" t="s">
        <v>200</v>
      </c>
      <c r="E13" s="213" t="s">
        <v>201</v>
      </c>
      <c r="F13" s="213" t="s">
        <v>202</v>
      </c>
      <c r="G13" s="213" t="s">
        <v>203</v>
      </c>
      <c r="H13" s="202" t="s">
        <v>92</v>
      </c>
      <c r="I13" s="214" t="s">
        <v>93</v>
      </c>
    </row>
    <row r="14" spans="1:11">
      <c r="A14" s="498"/>
      <c r="B14" s="189">
        <v>0.625</v>
      </c>
      <c r="C14" s="202" t="s">
        <v>94</v>
      </c>
      <c r="D14" s="202" t="s">
        <v>95</v>
      </c>
      <c r="E14" s="206" t="s">
        <v>124</v>
      </c>
      <c r="F14" s="206" t="s">
        <v>125</v>
      </c>
      <c r="G14" s="206" t="s">
        <v>126</v>
      </c>
      <c r="H14" s="206" t="s">
        <v>127</v>
      </c>
      <c r="I14" s="216" t="s">
        <v>148</v>
      </c>
    </row>
    <row r="15" spans="1:11">
      <c r="A15" s="498"/>
      <c r="B15" s="189">
        <v>0.64583333333333337</v>
      </c>
      <c r="C15" s="211" t="s">
        <v>149</v>
      </c>
      <c r="D15" s="211" t="s">
        <v>150</v>
      </c>
      <c r="E15" s="211" t="s">
        <v>151</v>
      </c>
      <c r="F15" s="212" t="s">
        <v>176</v>
      </c>
      <c r="G15" s="212" t="s">
        <v>177</v>
      </c>
      <c r="H15" s="212" t="s">
        <v>178</v>
      </c>
      <c r="I15" s="218" t="s">
        <v>179</v>
      </c>
    </row>
    <row r="16" spans="1:11">
      <c r="A16" s="498"/>
      <c r="B16" s="189">
        <v>0.66666666666666663</v>
      </c>
      <c r="C16" s="213" t="s">
        <v>204</v>
      </c>
      <c r="D16" s="213" t="s">
        <v>205</v>
      </c>
      <c r="E16" s="213" t="s">
        <v>206</v>
      </c>
      <c r="F16" s="213" t="s">
        <v>207</v>
      </c>
      <c r="G16" s="202" t="s">
        <v>97</v>
      </c>
      <c r="H16" s="202" t="s">
        <v>96</v>
      </c>
      <c r="I16" s="215" t="s">
        <v>128</v>
      </c>
    </row>
    <row r="17" spans="1:9">
      <c r="A17" s="498"/>
      <c r="B17" s="189">
        <v>0.6875</v>
      </c>
      <c r="C17" s="206" t="s">
        <v>129</v>
      </c>
      <c r="D17" s="211" t="s">
        <v>152</v>
      </c>
      <c r="E17" s="211" t="s">
        <v>153</v>
      </c>
      <c r="F17" s="211" t="s">
        <v>154</v>
      </c>
      <c r="G17" s="211" t="s">
        <v>155</v>
      </c>
      <c r="H17" s="212" t="s">
        <v>180</v>
      </c>
      <c r="I17" s="218" t="s">
        <v>181</v>
      </c>
    </row>
    <row r="18" spans="1:9">
      <c r="A18" s="498"/>
      <c r="B18" s="189">
        <v>0.70833333333333337</v>
      </c>
      <c r="C18" s="212" t="s">
        <v>182</v>
      </c>
      <c r="D18" s="212" t="s">
        <v>183</v>
      </c>
      <c r="E18" s="213" t="s">
        <v>208</v>
      </c>
      <c r="F18" s="213" t="s">
        <v>209</v>
      </c>
      <c r="G18" s="213" t="s">
        <v>210</v>
      </c>
      <c r="H18" s="213" t="s">
        <v>211</v>
      </c>
      <c r="I18" s="216" t="s">
        <v>156</v>
      </c>
    </row>
    <row r="19" spans="1:9">
      <c r="A19" s="498"/>
      <c r="B19" s="189">
        <v>0.72916666666666663</v>
      </c>
      <c r="C19" s="211" t="s">
        <v>157</v>
      </c>
      <c r="D19" s="212" t="s">
        <v>184</v>
      </c>
      <c r="E19" s="212" t="s">
        <v>185</v>
      </c>
      <c r="F19" s="213" t="s">
        <v>212</v>
      </c>
      <c r="G19" s="213" t="s">
        <v>213</v>
      </c>
      <c r="H19" s="202" t="s">
        <v>98</v>
      </c>
      <c r="I19" s="214" t="s">
        <v>99</v>
      </c>
    </row>
    <row r="20" spans="1:9">
      <c r="A20" s="498"/>
      <c r="B20" s="189">
        <v>0.75</v>
      </c>
      <c r="C20" s="206" t="s">
        <v>130</v>
      </c>
      <c r="D20" s="206" t="s">
        <v>131</v>
      </c>
      <c r="E20" s="211" t="s">
        <v>158</v>
      </c>
      <c r="F20" s="211" t="s">
        <v>159</v>
      </c>
      <c r="G20" s="212" t="s">
        <v>186</v>
      </c>
      <c r="H20" s="212" t="s">
        <v>187</v>
      </c>
      <c r="I20" s="217" t="s">
        <v>214</v>
      </c>
    </row>
    <row r="21" spans="1:9">
      <c r="A21" s="498"/>
      <c r="B21" s="189">
        <v>0.77083333333333337</v>
      </c>
      <c r="C21" s="213" t="s">
        <v>215</v>
      </c>
      <c r="D21" s="193"/>
      <c r="E21" s="193"/>
      <c r="F21" s="193"/>
      <c r="G21" s="193"/>
      <c r="H21" s="193"/>
      <c r="I21" s="197"/>
    </row>
    <row r="22" spans="1:9" ht="6" customHeight="1">
      <c r="B22" s="199"/>
      <c r="C22" s="200"/>
      <c r="D22" s="200"/>
      <c r="E22" s="200"/>
      <c r="F22" s="200"/>
      <c r="G22" s="200"/>
      <c r="H22" s="200"/>
      <c r="I22" s="200"/>
    </row>
    <row r="23" spans="1:9">
      <c r="A23" s="498" t="s">
        <v>73</v>
      </c>
      <c r="B23" s="189">
        <v>0.39583333333333331</v>
      </c>
      <c r="C23" s="202" t="s">
        <v>100</v>
      </c>
      <c r="D23" s="206" t="s">
        <v>132</v>
      </c>
      <c r="E23" s="211" t="s">
        <v>160</v>
      </c>
      <c r="F23" s="212" t="s">
        <v>188</v>
      </c>
      <c r="G23" s="213" t="s">
        <v>216</v>
      </c>
      <c r="H23" s="193"/>
      <c r="I23" s="197"/>
    </row>
    <row r="24" spans="1:9">
      <c r="A24" s="498"/>
      <c r="B24" s="189">
        <v>0.41666666666666669</v>
      </c>
      <c r="C24" s="202" t="s">
        <v>101</v>
      </c>
      <c r="D24" s="206" t="s">
        <v>133</v>
      </c>
      <c r="E24" s="211" t="s">
        <v>161</v>
      </c>
      <c r="F24" s="212" t="s">
        <v>189</v>
      </c>
      <c r="G24" s="213" t="s">
        <v>217</v>
      </c>
      <c r="H24" s="193"/>
      <c r="I24" s="197"/>
    </row>
    <row r="25" spans="1:9">
      <c r="A25" s="498"/>
      <c r="B25" s="189">
        <v>0.4375</v>
      </c>
      <c r="C25" s="202" t="s">
        <v>102</v>
      </c>
      <c r="D25" s="206" t="s">
        <v>134</v>
      </c>
      <c r="E25" s="211" t="s">
        <v>162</v>
      </c>
      <c r="F25" s="212" t="s">
        <v>190</v>
      </c>
      <c r="G25" s="213" t="s">
        <v>218</v>
      </c>
      <c r="H25" s="193"/>
      <c r="I25" s="197"/>
    </row>
    <row r="26" spans="1:9">
      <c r="A26" s="498"/>
      <c r="B26" s="189">
        <v>0.45833333333333331</v>
      </c>
      <c r="C26" s="193"/>
      <c r="D26" s="193"/>
      <c r="E26" s="193"/>
      <c r="F26" s="193"/>
      <c r="G26" s="193"/>
      <c r="H26" s="193"/>
      <c r="I26" s="197"/>
    </row>
    <row r="27" spans="1:9" ht="6" customHeight="1">
      <c r="B27" s="199"/>
      <c r="C27" s="200"/>
      <c r="D27" s="200"/>
      <c r="E27" s="200"/>
      <c r="F27" s="200"/>
      <c r="G27" s="200"/>
      <c r="H27" s="200"/>
      <c r="I27" s="200"/>
    </row>
    <row r="28" spans="1:9">
      <c r="A28" s="498" t="s">
        <v>74</v>
      </c>
      <c r="B28" s="189">
        <v>0.58333333333333337</v>
      </c>
      <c r="C28" s="202" t="s">
        <v>103</v>
      </c>
      <c r="D28" s="206" t="s">
        <v>135</v>
      </c>
      <c r="E28" s="211" t="s">
        <v>163</v>
      </c>
      <c r="F28" s="212" t="s">
        <v>191</v>
      </c>
      <c r="G28" s="213" t="s">
        <v>219</v>
      </c>
      <c r="H28" s="193"/>
      <c r="I28" s="197"/>
    </row>
    <row r="29" spans="1:9">
      <c r="A29" s="498"/>
      <c r="B29" s="189">
        <v>0.60416666666666663</v>
      </c>
      <c r="C29" s="193"/>
      <c r="D29" s="193"/>
      <c r="E29" s="193"/>
      <c r="F29" s="193"/>
      <c r="G29" s="193"/>
      <c r="H29" s="193"/>
      <c r="I29" s="197"/>
    </row>
    <row r="30" spans="1:9" ht="15.75" thickBot="1">
      <c r="A30" s="498"/>
      <c r="B30" s="190">
        <v>0.625</v>
      </c>
      <c r="C30" s="194"/>
      <c r="D30" s="194"/>
      <c r="E30" s="194"/>
      <c r="F30" s="194"/>
      <c r="G30" s="194"/>
      <c r="H30" s="194"/>
      <c r="I30" s="198"/>
    </row>
  </sheetData>
  <mergeCells count="5">
    <mergeCell ref="A3:A10"/>
    <mergeCell ref="A12:A21"/>
    <mergeCell ref="A23:A26"/>
    <mergeCell ref="A28:A30"/>
    <mergeCell ref="C1:I1"/>
  </mergeCells>
  <printOptions horizontalCentered="1" verticalCentered="1"/>
  <pageMargins left="0.70866141732283472" right="0.70866141732283472" top="0.74803149606299213" bottom="0.74803149606299213" header="0.31496062992125984" footer="0.31496062992125984"/>
  <pageSetup paperSize="9" orientation="landscape" verticalDpi="0" r:id="rId1"/>
</worksheet>
</file>

<file path=xl/worksheets/sheet2.xml><?xml version="1.0" encoding="utf-8"?>
<worksheet xmlns="http://schemas.openxmlformats.org/spreadsheetml/2006/main" xmlns:r="http://schemas.openxmlformats.org/officeDocument/2006/relationships">
  <sheetPr codeName="Folha1">
    <tabColor rgb="FF0070C0"/>
    <pageSetUpPr fitToPage="1"/>
  </sheetPr>
  <dimension ref="B1:CO155"/>
  <sheetViews>
    <sheetView showGridLines="0" zoomScale="80" zoomScaleNormal="80" workbookViewId="0">
      <selection activeCell="AU27" sqref="AU27"/>
    </sheetView>
  </sheetViews>
  <sheetFormatPr defaultRowHeight="12.75"/>
  <cols>
    <col min="1" max="1" width="1.42578125" style="1" customWidth="1"/>
    <col min="2" max="2" width="2.140625" style="1" customWidth="1"/>
    <col min="3" max="3" width="3.28515625" style="34" customWidth="1"/>
    <col min="4" max="4" width="24.140625" style="1" customWidth="1"/>
    <col min="5" max="5" width="2.85546875" style="1" customWidth="1"/>
    <col min="6" max="9" width="3.28515625" style="1" customWidth="1"/>
    <col min="10" max="10" width="3.28515625" style="34" customWidth="1"/>
    <col min="11" max="11" width="24.140625" style="1" customWidth="1"/>
    <col min="12" max="12" width="2.85546875" style="1" customWidth="1"/>
    <col min="13" max="13" width="3.42578125" style="1" customWidth="1"/>
    <col min="14" max="16" width="3.28515625" style="1" customWidth="1"/>
    <col min="17" max="17" width="3.28515625" style="34" customWidth="1"/>
    <col min="18" max="18" width="24.140625" style="1" customWidth="1"/>
    <col min="19" max="19" width="2.85546875" style="1" customWidth="1"/>
    <col min="20" max="23" width="3.28515625" style="1" customWidth="1"/>
    <col min="24" max="24" width="3.28515625" style="34" customWidth="1"/>
    <col min="25" max="25" width="24.140625" style="1" customWidth="1"/>
    <col min="26" max="26" width="1.85546875" style="1" customWidth="1"/>
    <col min="27" max="29" width="3.28515625" style="1" customWidth="1"/>
    <col min="30" max="30" width="4" style="1" customWidth="1"/>
    <col min="31" max="31" width="6.140625" style="1" customWidth="1"/>
    <col min="32" max="32" width="5" style="1" customWidth="1"/>
    <col min="33" max="33" width="5.5703125" style="1" customWidth="1"/>
    <col min="34" max="34" width="5.85546875" style="1" customWidth="1"/>
    <col min="35" max="35" width="5.5703125" style="1" customWidth="1"/>
    <col min="36" max="36" width="5.85546875" style="1" customWidth="1"/>
    <col min="37" max="38" width="6.85546875" style="1" customWidth="1"/>
    <col min="39" max="39" width="4.7109375" style="1" customWidth="1"/>
    <col min="40" max="40" width="5" style="1" customWidth="1"/>
    <col min="41" max="41" width="23.42578125" style="1" customWidth="1"/>
    <col min="42" max="44" width="10" style="1" customWidth="1"/>
    <col min="45" max="51" width="12" style="1" customWidth="1"/>
    <col min="52" max="52" width="2.85546875" style="1" customWidth="1"/>
    <col min="53" max="53" width="34.7109375" style="1" customWidth="1"/>
    <col min="54" max="54" width="8.140625" style="1" customWidth="1"/>
    <col min="55" max="84" width="3.28515625" style="1" customWidth="1"/>
    <col min="85" max="85" width="2.85546875" style="1" customWidth="1"/>
    <col min="86" max="86" width="9.140625" style="1"/>
    <col min="87" max="87" width="7.5703125" style="1" customWidth="1"/>
    <col min="88" max="90" width="9.140625" style="1"/>
    <col min="91" max="91" width="22" style="1" customWidth="1"/>
    <col min="92" max="93" width="27.28515625" style="1" customWidth="1"/>
    <col min="94" max="16384" width="9.140625" style="1"/>
  </cols>
  <sheetData>
    <row r="1" spans="2:71" ht="9" customHeight="1"/>
    <row r="2" spans="2:71" ht="28.5" customHeight="1">
      <c r="B2" s="125"/>
      <c r="C2" s="481" t="s">
        <v>252</v>
      </c>
      <c r="D2" s="481"/>
      <c r="E2" s="481"/>
      <c r="F2" s="481"/>
      <c r="G2" s="110"/>
      <c r="H2" s="482" t="s">
        <v>53</v>
      </c>
      <c r="I2" s="482"/>
      <c r="J2" s="482"/>
      <c r="K2" s="482"/>
      <c r="L2" s="482"/>
      <c r="M2" s="482"/>
      <c r="N2" s="482"/>
      <c r="O2" s="482"/>
      <c r="P2" s="482"/>
      <c r="Q2" s="482"/>
      <c r="R2" s="482"/>
      <c r="S2" s="482"/>
      <c r="T2" s="482"/>
      <c r="U2" s="482"/>
      <c r="V2" s="482"/>
      <c r="W2" s="482"/>
      <c r="X2" s="482"/>
      <c r="Y2" s="110"/>
      <c r="Z2" s="110"/>
      <c r="AA2" s="110"/>
      <c r="AB2" s="110"/>
      <c r="AC2" s="110"/>
      <c r="AD2" s="110" t="s">
        <v>17</v>
      </c>
      <c r="AE2" s="3"/>
      <c r="AG2" s="310"/>
      <c r="AH2" s="311"/>
      <c r="AN2" s="312"/>
      <c r="AO2" s="312"/>
      <c r="AP2" s="312"/>
      <c r="AQ2" s="312"/>
      <c r="AR2" s="312"/>
      <c r="AS2" s="312"/>
      <c r="AT2" s="312"/>
      <c r="AU2" s="312"/>
      <c r="AV2" s="312"/>
      <c r="AW2" s="312"/>
      <c r="AX2" s="312"/>
      <c r="AY2" s="312"/>
      <c r="BA2" s="313"/>
      <c r="BB2" s="313"/>
      <c r="BC2" s="313"/>
      <c r="BD2" s="313"/>
      <c r="BE2" s="313"/>
      <c r="BF2" s="313"/>
      <c r="BG2" s="313"/>
      <c r="BH2" s="313"/>
      <c r="BI2" s="313"/>
      <c r="BJ2" s="313"/>
      <c r="BK2" s="313"/>
      <c r="BL2" s="313"/>
      <c r="BM2" s="313"/>
      <c r="BN2" s="313"/>
      <c r="BO2" s="313"/>
      <c r="BP2" s="313"/>
      <c r="BQ2" s="313"/>
      <c r="BR2" s="313"/>
      <c r="BS2" s="313"/>
    </row>
    <row r="3" spans="2:71" ht="20.25" customHeight="1">
      <c r="B3" s="126"/>
      <c r="C3" s="483" t="s">
        <v>253</v>
      </c>
      <c r="D3" s="483"/>
      <c r="E3" s="483"/>
      <c r="F3" s="483"/>
      <c r="G3" s="111"/>
      <c r="H3" s="484" t="s">
        <v>30</v>
      </c>
      <c r="I3" s="484"/>
      <c r="J3" s="484"/>
      <c r="K3" s="484"/>
      <c r="L3" s="484"/>
      <c r="M3" s="484"/>
      <c r="N3" s="484"/>
      <c r="O3" s="484"/>
      <c r="P3" s="112" t="s">
        <v>31</v>
      </c>
      <c r="Q3" s="485" t="s">
        <v>24</v>
      </c>
      <c r="R3" s="485"/>
      <c r="S3" s="485"/>
      <c r="T3" s="485"/>
      <c r="U3" s="485"/>
      <c r="V3" s="485"/>
      <c r="W3" s="485"/>
      <c r="X3" s="485"/>
      <c r="Y3" s="111"/>
      <c r="Z3" s="111"/>
      <c r="AA3" s="111"/>
      <c r="AB3" s="111"/>
      <c r="AC3" s="111"/>
      <c r="AD3" s="111"/>
      <c r="AE3" s="113"/>
      <c r="AG3" s="310"/>
      <c r="AH3" s="311"/>
      <c r="AN3" s="312"/>
      <c r="AO3" s="312"/>
      <c r="AP3" s="312"/>
      <c r="AQ3" s="312"/>
      <c r="AR3" s="312"/>
      <c r="AS3" s="312"/>
      <c r="AT3" s="312"/>
      <c r="AU3" s="312"/>
      <c r="AV3" s="312"/>
      <c r="AW3" s="312"/>
      <c r="AX3" s="312"/>
      <c r="AY3" s="312"/>
      <c r="BA3" s="313"/>
      <c r="BB3" s="313"/>
      <c r="BC3" s="313"/>
      <c r="BD3" s="313"/>
      <c r="BE3" s="313"/>
      <c r="BF3" s="313"/>
      <c r="BG3" s="313"/>
      <c r="BH3" s="313"/>
      <c r="BI3" s="313"/>
      <c r="BJ3" s="313"/>
      <c r="BK3" s="313"/>
      <c r="BL3" s="313"/>
      <c r="BM3" s="313"/>
      <c r="BN3" s="313"/>
      <c r="BO3" s="313"/>
      <c r="BP3" s="313"/>
      <c r="BQ3" s="313"/>
      <c r="BR3" s="313"/>
      <c r="BS3" s="313"/>
    </row>
    <row r="4" spans="2:71" ht="13.5" customHeight="1" thickBot="1">
      <c r="B4" s="126"/>
      <c r="C4" s="115"/>
      <c r="D4" s="114"/>
      <c r="E4" s="114"/>
      <c r="F4" s="114"/>
      <c r="G4" s="114"/>
      <c r="H4" s="114"/>
      <c r="I4" s="114"/>
      <c r="J4" s="115"/>
      <c r="K4" s="114"/>
      <c r="L4" s="114"/>
      <c r="M4" s="114"/>
      <c r="N4" s="114"/>
      <c r="O4" s="114"/>
      <c r="P4" s="114" t="s">
        <v>19</v>
      </c>
      <c r="Q4" s="115"/>
      <c r="R4" s="114"/>
      <c r="S4" s="114"/>
      <c r="T4" s="114"/>
      <c r="U4" s="114"/>
      <c r="V4" s="114"/>
      <c r="W4" s="114" t="s">
        <v>18</v>
      </c>
      <c r="X4" s="115"/>
      <c r="Y4" s="114"/>
      <c r="Z4" s="114"/>
      <c r="AA4" s="114"/>
      <c r="AB4" s="114"/>
      <c r="AC4" s="114"/>
      <c r="AD4" s="114"/>
      <c r="AE4" s="116"/>
      <c r="AF4" s="106"/>
      <c r="AN4" s="312"/>
      <c r="AO4" s="312"/>
      <c r="AP4" s="312"/>
      <c r="AQ4" s="312"/>
      <c r="AR4" s="312"/>
      <c r="AS4" s="312"/>
      <c r="AT4" s="312"/>
      <c r="AU4" s="312"/>
      <c r="AV4" s="312"/>
      <c r="AW4" s="312"/>
      <c r="AX4" s="312"/>
      <c r="AY4" s="312"/>
      <c r="BA4" s="313"/>
      <c r="BB4" s="313"/>
      <c r="BC4" s="313"/>
      <c r="BD4" s="313"/>
      <c r="BE4" s="313"/>
      <c r="BF4" s="313"/>
      <c r="BG4" s="313"/>
      <c r="BH4" s="313"/>
      <c r="BI4" s="313"/>
      <c r="BJ4" s="313"/>
      <c r="BK4" s="313"/>
      <c r="BL4" s="313"/>
      <c r="BM4" s="313"/>
      <c r="BN4" s="313"/>
      <c r="BO4" s="313"/>
      <c r="BP4" s="313"/>
      <c r="BQ4" s="313"/>
      <c r="BR4" s="313"/>
      <c r="BS4" s="313"/>
    </row>
    <row r="5" spans="2:71" ht="28.5" customHeight="1">
      <c r="B5" s="126"/>
      <c r="C5" s="486" t="s">
        <v>7</v>
      </c>
      <c r="D5" s="487"/>
      <c r="E5" s="487"/>
      <c r="F5" s="487"/>
      <c r="G5" s="487"/>
      <c r="H5" s="487"/>
      <c r="I5" s="488"/>
      <c r="J5" s="486" t="s">
        <v>8</v>
      </c>
      <c r="K5" s="487"/>
      <c r="L5" s="487"/>
      <c r="M5" s="487"/>
      <c r="N5" s="487"/>
      <c r="O5" s="487"/>
      <c r="P5" s="488"/>
      <c r="Q5" s="486" t="s">
        <v>9</v>
      </c>
      <c r="R5" s="487"/>
      <c r="S5" s="487"/>
      <c r="T5" s="487"/>
      <c r="U5" s="487"/>
      <c r="V5" s="487"/>
      <c r="W5" s="488"/>
      <c r="X5" s="486" t="s">
        <v>10</v>
      </c>
      <c r="Y5" s="487"/>
      <c r="Z5" s="487"/>
      <c r="AA5" s="487"/>
      <c r="AB5" s="487"/>
      <c r="AC5" s="487"/>
      <c r="AD5" s="488"/>
      <c r="AE5" s="117"/>
      <c r="AF5" s="107"/>
      <c r="AG5" s="478" t="s">
        <v>47</v>
      </c>
      <c r="AH5" s="478"/>
      <c r="AI5" s="478"/>
      <c r="AJ5" s="478"/>
      <c r="AN5" s="314"/>
      <c r="AO5" s="314"/>
      <c r="AP5" s="314"/>
      <c r="AQ5" s="314"/>
      <c r="AR5" s="314"/>
      <c r="AS5" s="315"/>
      <c r="AT5" s="315"/>
      <c r="AU5" s="315"/>
      <c r="AV5" s="315"/>
      <c r="AW5" s="315"/>
      <c r="AX5" s="315"/>
      <c r="AY5" s="315"/>
      <c r="BA5" s="313"/>
      <c r="BB5" s="313"/>
      <c r="BC5" s="313"/>
      <c r="BD5" s="313"/>
      <c r="BE5" s="313"/>
      <c r="BF5" s="313"/>
      <c r="BG5" s="313"/>
      <c r="BH5" s="313"/>
      <c r="BI5" s="313"/>
      <c r="BJ5" s="313"/>
      <c r="BK5" s="313"/>
      <c r="BL5" s="313"/>
      <c r="BM5" s="313"/>
      <c r="BN5" s="313"/>
      <c r="BO5" s="313"/>
      <c r="BP5" s="313"/>
      <c r="BQ5" s="313"/>
      <c r="BR5" s="313"/>
      <c r="BS5" s="313"/>
    </row>
    <row r="6" spans="2:71" ht="18" customHeight="1">
      <c r="B6" s="126"/>
      <c r="C6" s="2"/>
      <c r="D6" s="480" t="s">
        <v>11</v>
      </c>
      <c r="E6" s="480"/>
      <c r="F6" s="480"/>
      <c r="G6" s="3"/>
      <c r="H6" s="4" t="s">
        <v>6</v>
      </c>
      <c r="I6" s="5"/>
      <c r="J6" s="2"/>
      <c r="K6" s="480" t="s">
        <v>11</v>
      </c>
      <c r="L6" s="480"/>
      <c r="M6" s="480"/>
      <c r="N6" s="3"/>
      <c r="O6" s="4" t="s">
        <v>6</v>
      </c>
      <c r="P6" s="5"/>
      <c r="Q6" s="2"/>
      <c r="R6" s="480" t="s">
        <v>11</v>
      </c>
      <c r="S6" s="480"/>
      <c r="T6" s="480"/>
      <c r="U6" s="3"/>
      <c r="V6" s="4" t="s">
        <v>6</v>
      </c>
      <c r="W6" s="5"/>
      <c r="X6" s="2"/>
      <c r="Y6" s="480" t="s">
        <v>11</v>
      </c>
      <c r="Z6" s="480"/>
      <c r="AA6" s="480"/>
      <c r="AB6" s="3"/>
      <c r="AC6" s="4" t="s">
        <v>6</v>
      </c>
      <c r="AD6" s="5"/>
      <c r="AE6" s="117"/>
      <c r="AF6" s="107"/>
      <c r="AG6" s="478"/>
      <c r="AH6" s="478"/>
      <c r="AI6" s="478"/>
      <c r="AJ6" s="478"/>
      <c r="AN6" s="286"/>
      <c r="AO6" s="286"/>
      <c r="AP6" s="316"/>
      <c r="AQ6" s="316"/>
      <c r="AR6" s="316"/>
      <c r="AS6" s="287"/>
      <c r="AT6" s="287"/>
      <c r="AU6" s="287"/>
      <c r="AV6" s="287"/>
      <c r="AW6" s="287"/>
      <c r="AX6" s="287"/>
      <c r="AY6" s="287"/>
      <c r="BA6" s="313"/>
      <c r="BB6" s="313"/>
      <c r="BC6" s="313"/>
      <c r="BD6" s="313"/>
      <c r="BE6" s="313"/>
      <c r="BF6" s="313"/>
      <c r="BG6" s="313"/>
      <c r="BH6" s="313"/>
      <c r="BI6" s="313"/>
      <c r="BJ6" s="313"/>
      <c r="BK6" s="313"/>
      <c r="BL6" s="313"/>
      <c r="BM6" s="313"/>
      <c r="BN6" s="313"/>
      <c r="BO6" s="313"/>
      <c r="BP6" s="313"/>
      <c r="BQ6" s="313"/>
      <c r="BR6" s="313"/>
      <c r="BS6" s="313"/>
    </row>
    <row r="7" spans="2:71" ht="19.5" customHeight="1" thickBot="1">
      <c r="B7" s="126"/>
      <c r="C7" s="6"/>
      <c r="D7" s="473" t="s">
        <v>254</v>
      </c>
      <c r="E7" s="473"/>
      <c r="F7" s="473"/>
      <c r="G7" s="7" t="s">
        <v>16</v>
      </c>
      <c r="H7" s="8">
        <f>IF(COUNT(F$16,F$22,F$27)=0,"",SUM(AND(F$16&lt;&gt;"",F$17&lt;&gt;"",F$16&gt;F$17),AND(F$22&lt;&gt;"",F$23&lt;&gt;"",F$22&gt;F$23),AND(F$27&lt;&gt;"",F$26&lt;&gt;"",F$27&gt;F$26)))</f>
        <v>1</v>
      </c>
      <c r="I7" s="9"/>
      <c r="J7" s="6"/>
      <c r="K7" s="473" t="s">
        <v>228</v>
      </c>
      <c r="L7" s="473"/>
      <c r="M7" s="473"/>
      <c r="N7" s="7" t="s">
        <v>16</v>
      </c>
      <c r="O7" s="8" t="str">
        <f>IF(COUNT(M$16,M$22,M$27)=0,"",SUM(AND(M$16&lt;&gt;"",M$17&lt;&gt;"",M$16&gt;M$17),AND(M$22&lt;&gt;"",M$23&lt;&gt;"",M$22&gt;M$23),AND(M$27&lt;&gt;"",M$26&lt;&gt;"",M$27&gt;M$26)))</f>
        <v/>
      </c>
      <c r="P7" s="9"/>
      <c r="Q7" s="6"/>
      <c r="R7" s="473" t="s">
        <v>232</v>
      </c>
      <c r="S7" s="473"/>
      <c r="T7" s="473"/>
      <c r="U7" s="7" t="s">
        <v>16</v>
      </c>
      <c r="V7" s="8" t="str">
        <f>IF(COUNT(T$16,T$22,T$27)=0,"",SUM(AND(T$16&lt;&gt;"",T$17&lt;&gt;"",T$16&gt;T$17),AND(T$22&lt;&gt;"",T$23&lt;&gt;"",T$22&gt;T$23),AND(T$27&lt;&gt;"",T$26&lt;&gt;"",T$27&gt;T$26)))</f>
        <v/>
      </c>
      <c r="W7" s="9"/>
      <c r="X7" s="6"/>
      <c r="Y7" s="473" t="s">
        <v>236</v>
      </c>
      <c r="Z7" s="473"/>
      <c r="AA7" s="473"/>
      <c r="AB7" s="7" t="s">
        <v>16</v>
      </c>
      <c r="AC7" s="8" t="str">
        <f>IF(COUNT(AA$16,AA$22,AA$27)=0,"",SUM(AND(AA$16&lt;&gt;"",AA$17&lt;&gt;"",AA$16&gt;AA$17),AND(AA$22&lt;&gt;"",AA$23&lt;&gt;"",AA$22&gt;AA$23),AND(AA$27&lt;&gt;"",AA$26&lt;&gt;"",AA$27&gt;AA$26)))</f>
        <v/>
      </c>
      <c r="AD7" s="9"/>
      <c r="AE7" s="113"/>
      <c r="AG7" s="479"/>
      <c r="AH7" s="479"/>
      <c r="AI7" s="479"/>
      <c r="AJ7" s="479"/>
      <c r="AT7" s="291"/>
      <c r="AU7" s="291"/>
      <c r="AV7" s="290"/>
      <c r="AW7" s="291"/>
      <c r="AX7" s="291"/>
      <c r="AY7" s="290"/>
      <c r="BA7" s="313"/>
      <c r="BB7" s="313"/>
      <c r="BC7" s="313"/>
      <c r="BD7" s="313"/>
      <c r="BE7" s="313"/>
      <c r="BF7" s="313"/>
      <c r="BG7" s="313"/>
      <c r="BH7" s="313"/>
      <c r="BI7" s="313"/>
      <c r="BJ7" s="313"/>
      <c r="BK7" s="313"/>
      <c r="BL7" s="313"/>
      <c r="BM7" s="313"/>
      <c r="BN7" s="313"/>
      <c r="BO7" s="313"/>
      <c r="BP7" s="313"/>
      <c r="BQ7" s="313"/>
      <c r="BR7" s="313"/>
      <c r="BS7" s="313"/>
    </row>
    <row r="8" spans="2:71" ht="19.5" customHeight="1">
      <c r="B8" s="126"/>
      <c r="C8" s="6"/>
      <c r="D8" s="473" t="s">
        <v>226</v>
      </c>
      <c r="E8" s="473"/>
      <c r="F8" s="473"/>
      <c r="G8" s="10" t="s">
        <v>16</v>
      </c>
      <c r="H8" s="8" t="str">
        <f>IF(COUNT(F$18,F$23,F$24)=0,"",SUM(AND(F$18&lt;&gt;"",F$19&lt;&gt;"",F$18&gt;F$19),AND(F$22&lt;&gt;"",F$23&lt;&gt;"",F$23&gt;F$22),AND(F$24&lt;&gt;"",F$25&lt;&gt;"",F$24&gt;F$25)))</f>
        <v/>
      </c>
      <c r="I8" s="9"/>
      <c r="J8" s="6"/>
      <c r="K8" s="473" t="s">
        <v>229</v>
      </c>
      <c r="L8" s="473"/>
      <c r="M8" s="473"/>
      <c r="N8" s="10" t="s">
        <v>16</v>
      </c>
      <c r="O8" s="8" t="str">
        <f>IF(COUNT(M$18,M$23,M$24)=0,"",SUM(AND(M$18&lt;&gt;"",M$19&lt;&gt;"",M$18&gt;M$19),AND(M$22&lt;&gt;"",M$23&lt;&gt;"",M$23&gt;M$22),AND(M$24&lt;&gt;"",M$25&lt;&gt;"",M$24&gt;M$25)))</f>
        <v/>
      </c>
      <c r="P8" s="9"/>
      <c r="Q8" s="6"/>
      <c r="R8" s="473" t="s">
        <v>233</v>
      </c>
      <c r="S8" s="473"/>
      <c r="T8" s="473"/>
      <c r="U8" s="10" t="s">
        <v>16</v>
      </c>
      <c r="V8" s="8" t="str">
        <f>IF(COUNT(T$18,T$23,T$24)=0,"",SUM(AND(T$18&lt;&gt;"",T$19&lt;&gt;"",T$18&gt;T$19),AND(T$22&lt;&gt;"",T$23&lt;&gt;"",T$23&gt;T$22),AND(T$24&lt;&gt;"",T$25&lt;&gt;"",T$24&gt;T$25)))</f>
        <v/>
      </c>
      <c r="W8" s="9"/>
      <c r="X8" s="6"/>
      <c r="Y8" s="473" t="s">
        <v>237</v>
      </c>
      <c r="Z8" s="473"/>
      <c r="AA8" s="473"/>
      <c r="AB8" s="10" t="s">
        <v>16</v>
      </c>
      <c r="AC8" s="8" t="str">
        <f>IF(COUNT(AA$18,AA$23,AA$24)=0,"",SUM(AND(AA$18&lt;&gt;"",AA$19&lt;&gt;"",AA$18&gt;AA$19),AND(AA$22&lt;&gt;"",AA$23&lt;&gt;"",AA$23&gt;AA$22),AND(AA$24&lt;&gt;"",AA$25&lt;&gt;"",AA$24&gt;AA$25)))</f>
        <v/>
      </c>
      <c r="AD8" s="9"/>
      <c r="AE8" s="113"/>
      <c r="AG8" s="474" t="s">
        <v>40</v>
      </c>
      <c r="AH8" s="476" t="s">
        <v>41</v>
      </c>
      <c r="AI8" s="474" t="s">
        <v>40</v>
      </c>
      <c r="AJ8" s="476" t="s">
        <v>41</v>
      </c>
      <c r="AT8" s="317"/>
      <c r="AU8" s="317"/>
      <c r="AV8" s="290"/>
      <c r="AW8" s="317"/>
      <c r="AX8" s="317"/>
      <c r="AY8" s="290"/>
      <c r="BA8" s="313"/>
      <c r="BB8" s="313"/>
      <c r="BC8" s="313"/>
      <c r="BD8" s="313"/>
      <c r="BE8" s="313"/>
      <c r="BF8" s="313"/>
      <c r="BG8" s="313"/>
      <c r="BH8" s="313"/>
      <c r="BI8" s="313"/>
      <c r="BJ8" s="313"/>
      <c r="BK8" s="313"/>
      <c r="BL8" s="313"/>
      <c r="BM8" s="313"/>
      <c r="BN8" s="313"/>
      <c r="BO8" s="313"/>
      <c r="BP8" s="313"/>
      <c r="BQ8" s="313"/>
      <c r="BR8" s="313"/>
      <c r="BS8" s="313"/>
    </row>
    <row r="9" spans="2:71" ht="19.5" customHeight="1" thickBot="1">
      <c r="B9" s="126"/>
      <c r="C9" s="6"/>
      <c r="D9" s="473" t="s">
        <v>227</v>
      </c>
      <c r="E9" s="473"/>
      <c r="F9" s="473"/>
      <c r="G9" s="10" t="s">
        <v>16</v>
      </c>
      <c r="H9" s="8" t="str">
        <f>IF(COUNT(F$19,F$21,F$26)=0,"",SUM(AND(F$18&lt;&gt;"",F$19&lt;&gt;"",F$19&gt;F$18),AND(F$20&lt;&gt;"",F$21&lt;&gt;"",F$21&gt;F$20),AND(F$26&lt;&gt;"",F$27&lt;&gt;"",F$26&gt;F$27)))</f>
        <v/>
      </c>
      <c r="I9" s="9"/>
      <c r="J9" s="6"/>
      <c r="K9" s="473" t="s">
        <v>230</v>
      </c>
      <c r="L9" s="473"/>
      <c r="M9" s="473"/>
      <c r="N9" s="10" t="s">
        <v>16</v>
      </c>
      <c r="O9" s="8" t="str">
        <f>IF(COUNT(M$19,M$21,M$26)=0,"",SUM(AND(M$18&lt;&gt;"",M$19&lt;&gt;"",M$19&gt;M$18),AND(M$20&lt;&gt;"",M$21&lt;&gt;"",M$21&gt;M$20),AND(M$26&lt;&gt;"",M$27&lt;&gt;"",M$26&gt;M$27)))</f>
        <v/>
      </c>
      <c r="P9" s="9"/>
      <c r="Q9" s="6"/>
      <c r="R9" s="473" t="s">
        <v>234</v>
      </c>
      <c r="S9" s="473"/>
      <c r="T9" s="473"/>
      <c r="U9" s="10" t="s">
        <v>16</v>
      </c>
      <c r="V9" s="8" t="str">
        <f>IF(COUNT(T$19,T$21,T$26)=0,"",SUM(AND(T$18&lt;&gt;"",T$19&lt;&gt;"",T$19&gt;T$18),AND(T$20&lt;&gt;"",T$21&lt;&gt;"",T$21&gt;T$20),AND(T$26&lt;&gt;"",T$27&lt;&gt;"",T$26&gt;T$27)))</f>
        <v/>
      </c>
      <c r="W9" s="9"/>
      <c r="X9" s="6"/>
      <c r="Y9" s="473" t="s">
        <v>239</v>
      </c>
      <c r="Z9" s="473"/>
      <c r="AA9" s="473"/>
      <c r="AB9" s="10" t="s">
        <v>16</v>
      </c>
      <c r="AC9" s="8" t="str">
        <f>IF(COUNT(AA$19,AA$21,AA$26)=0,"",SUM(AND(AA$18&lt;&gt;"",AA$19&lt;&gt;"",AA$19&gt;AA$18),AND(AA$20&lt;&gt;"",AA$21&lt;&gt;"",AA$21&gt;AA$20),AND(AA$26&lt;&gt;"",AA$27&lt;&gt;"",AA$26&gt;AA$27)))</f>
        <v/>
      </c>
      <c r="AD9" s="9"/>
      <c r="AE9" s="113"/>
      <c r="AG9" s="475"/>
      <c r="AH9" s="477"/>
      <c r="AI9" s="475"/>
      <c r="AJ9" s="477"/>
      <c r="AN9" s="318"/>
      <c r="AO9" s="468" t="s">
        <v>415</v>
      </c>
      <c r="AP9" s="470" t="s">
        <v>416</v>
      </c>
      <c r="AQ9" s="470" t="s">
        <v>417</v>
      </c>
      <c r="AR9" s="470" t="s">
        <v>418</v>
      </c>
      <c r="AS9" s="472" t="s">
        <v>419</v>
      </c>
      <c r="AT9" s="291"/>
      <c r="AU9" s="291"/>
      <c r="AV9" s="290"/>
      <c r="AW9" s="291"/>
      <c r="AX9" s="291"/>
      <c r="AY9" s="290"/>
      <c r="BA9" s="313"/>
      <c r="BB9" s="313"/>
      <c r="BC9" s="313"/>
      <c r="BD9" s="313"/>
      <c r="BE9" s="313"/>
      <c r="BF9" s="313"/>
      <c r="BG9" s="313"/>
      <c r="BH9" s="313"/>
      <c r="BI9" s="313"/>
      <c r="BJ9" s="313"/>
      <c r="BK9" s="313"/>
      <c r="BL9" s="313"/>
      <c r="BM9" s="313"/>
      <c r="BN9" s="313"/>
      <c r="BO9" s="313"/>
      <c r="BP9" s="313"/>
      <c r="BQ9" s="313"/>
      <c r="BR9" s="313"/>
      <c r="BS9" s="313"/>
    </row>
    <row r="10" spans="2:71" ht="19.5" customHeight="1" thickBot="1">
      <c r="B10" s="126"/>
      <c r="C10" s="6"/>
      <c r="D10" s="473" t="s">
        <v>251</v>
      </c>
      <c r="E10" s="473"/>
      <c r="F10" s="473"/>
      <c r="G10" s="10" t="s">
        <v>16</v>
      </c>
      <c r="H10" s="11">
        <f>IF(COUNT(F$17,F$20,F$25)=0,"",SUM(AND(F$16&lt;&gt;"",F$17&lt;&gt;"",F$17&gt;F$16),AND(F$20&lt;&gt;"",F$21&lt;&gt;"",F$20&gt;F$21),AND(F$24&lt;&gt;"",F$25&lt;&gt;"",F$25&gt;F$24)))</f>
        <v>0</v>
      </c>
      <c r="I10" s="12"/>
      <c r="J10" s="6"/>
      <c r="K10" s="473" t="s">
        <v>231</v>
      </c>
      <c r="L10" s="473"/>
      <c r="M10" s="473"/>
      <c r="N10" s="10" t="s">
        <v>16</v>
      </c>
      <c r="O10" s="11" t="str">
        <f>IF(COUNT(M$17,M$20,M$25)=0,"",SUM(AND(M$16&lt;&gt;"",M$17&lt;&gt;"",M$17&gt;M$16),AND(M$20&lt;&gt;"",M$21&lt;&gt;"",M$20&gt;M$21),AND(M$24&lt;&gt;"",M$25&lt;&gt;"",M$25&gt;M$24)))</f>
        <v/>
      </c>
      <c r="P10" s="12"/>
      <c r="Q10" s="6"/>
      <c r="R10" s="473" t="s">
        <v>235</v>
      </c>
      <c r="S10" s="473"/>
      <c r="T10" s="473"/>
      <c r="U10" s="10" t="s">
        <v>16</v>
      </c>
      <c r="V10" s="11" t="str">
        <f>IF(COUNT(T$17,T$20,T$25)=0,"",SUM(AND(T$16&lt;&gt;"",T$17&lt;&gt;"",T$17&gt;T$16),AND(T$20&lt;&gt;"",T$21&lt;&gt;"",T$20&gt;T$21),AND(T$24&lt;&gt;"",T$25&lt;&gt;"",T$25&gt;T$24)))</f>
        <v/>
      </c>
      <c r="W10" s="12"/>
      <c r="X10" s="6"/>
      <c r="Y10" s="473" t="s">
        <v>238</v>
      </c>
      <c r="Z10" s="473"/>
      <c r="AA10" s="473"/>
      <c r="AB10" s="10" t="s">
        <v>16</v>
      </c>
      <c r="AC10" s="11" t="str">
        <f>IF(COUNT(AA$17,AA$20,AA$25)=0,"",SUM(AND(AA$16&lt;&gt;"",AA$17&lt;&gt;"",AA$17&gt;AA$16),AND(AA$20&lt;&gt;"",AA$21&lt;&gt;"",AA$20&gt;AA$21),AND(AA$24&lt;&gt;"",AA$25&lt;&gt;"",AA$25&gt;AA$24)))</f>
        <v/>
      </c>
      <c r="AD10" s="12"/>
      <c r="AE10" s="113"/>
      <c r="AG10" s="159">
        <f>$C$16</f>
        <v>1</v>
      </c>
      <c r="AH10" s="160"/>
      <c r="AI10" s="159">
        <f>$C$24</f>
        <v>17</v>
      </c>
      <c r="AJ10" s="160"/>
      <c r="AK10" s="454" t="s">
        <v>49</v>
      </c>
      <c r="AL10" s="455"/>
      <c r="AN10" s="319"/>
      <c r="AO10" s="469"/>
      <c r="AP10" s="469"/>
      <c r="AQ10" s="471"/>
      <c r="AR10" s="469"/>
      <c r="AS10" s="472"/>
      <c r="AT10" s="291"/>
      <c r="AU10" s="291"/>
      <c r="AV10" s="290"/>
      <c r="AW10" s="291"/>
      <c r="AX10" s="291"/>
      <c r="AY10" s="290"/>
      <c r="BA10" s="313"/>
      <c r="BB10" s="313"/>
      <c r="BC10" s="313"/>
      <c r="BD10" s="313"/>
      <c r="BE10" s="313"/>
      <c r="BF10" s="313"/>
      <c r="BG10" s="313"/>
      <c r="BH10" s="313"/>
      <c r="BI10" s="313"/>
      <c r="BJ10" s="313"/>
      <c r="BK10" s="313"/>
      <c r="BL10" s="313"/>
      <c r="BM10" s="313"/>
      <c r="BN10" s="313"/>
      <c r="BO10" s="313"/>
      <c r="BP10" s="313"/>
      <c r="BQ10" s="313"/>
      <c r="BR10" s="313"/>
      <c r="BS10" s="313"/>
    </row>
    <row r="11" spans="2:71" ht="17.25" customHeight="1">
      <c r="B11" s="126"/>
      <c r="C11" s="465" t="s">
        <v>420</v>
      </c>
      <c r="D11" s="466"/>
      <c r="E11" s="466"/>
      <c r="F11" s="466"/>
      <c r="G11" s="466"/>
      <c r="H11" s="466"/>
      <c r="I11" s="467"/>
      <c r="J11" s="465" t="s">
        <v>421</v>
      </c>
      <c r="K11" s="466"/>
      <c r="L11" s="466"/>
      <c r="M11" s="466"/>
      <c r="N11" s="466"/>
      <c r="O11" s="466"/>
      <c r="P11" s="467"/>
      <c r="Q11" s="465" t="s">
        <v>422</v>
      </c>
      <c r="R11" s="466"/>
      <c r="S11" s="466"/>
      <c r="T11" s="466"/>
      <c r="U11" s="466"/>
      <c r="V11" s="466"/>
      <c r="W11" s="467"/>
      <c r="X11" s="465" t="s">
        <v>423</v>
      </c>
      <c r="Y11" s="466"/>
      <c r="Z11" s="466"/>
      <c r="AA11" s="466"/>
      <c r="AB11" s="466"/>
      <c r="AC11" s="466"/>
      <c r="AD11" s="467"/>
      <c r="AE11" s="113"/>
      <c r="AG11" s="109">
        <f>$C$18</f>
        <v>2</v>
      </c>
      <c r="AH11" s="161"/>
      <c r="AI11" s="109">
        <f>$C$26</f>
        <v>18</v>
      </c>
      <c r="AJ11" s="161"/>
      <c r="AK11" s="159">
        <f>$O$52</f>
        <v>33</v>
      </c>
      <c r="AL11" s="160"/>
      <c r="AN11" s="320" t="s">
        <v>424</v>
      </c>
      <c r="AO11" s="321" t="str">
        <f>IF(D7="","",D7)</f>
        <v>Manuel Pinto (AE Sertã)</v>
      </c>
      <c r="AP11" s="322">
        <f>H7</f>
        <v>1</v>
      </c>
      <c r="AQ11" s="322">
        <f>IF(AP11="","",(IF(F16="",0,F16)+IF(F22="",0,F22)+IF(F27="",0,F27))-(IF(F17="",0,F17)+IF(F23="",0,F23)+IF(F26="",0,F26)))</f>
        <v>1</v>
      </c>
      <c r="AR11" s="322">
        <f>IF(AP11="","",(IF(F16="",0,SUM(G16:I16))+IF(F22="",0,SUM(G22:I22))+IF(F27="",0,SUM(G27:I27)))-(IF(F17="",0,SUM(G17:I17))+IF(F23="",0,SUM(G23:I23))+IF(F26="",0,SUM(G26:I26))))</f>
        <v>6</v>
      </c>
      <c r="AT11" s="291"/>
      <c r="AU11" s="291"/>
      <c r="AV11" s="290"/>
      <c r="AW11" s="291"/>
      <c r="AX11" s="291"/>
      <c r="AY11" s="290"/>
      <c r="BA11" s="313"/>
      <c r="BB11" s="313"/>
      <c r="BC11" s="313"/>
      <c r="BD11" s="313"/>
      <c r="BE11" s="313"/>
      <c r="BF11" s="313"/>
      <c r="BG11" s="313"/>
      <c r="BH11" s="313"/>
      <c r="BI11" s="313"/>
      <c r="BJ11" s="313"/>
      <c r="BK11" s="313"/>
      <c r="BL11" s="313"/>
      <c r="BM11" s="313"/>
      <c r="BN11" s="313"/>
      <c r="BO11" s="313"/>
      <c r="BP11" s="313"/>
      <c r="BQ11" s="313"/>
      <c r="BR11" s="313"/>
      <c r="BS11" s="313"/>
    </row>
    <row r="12" spans="2:71" ht="15" customHeight="1">
      <c r="B12" s="126"/>
      <c r="C12" s="13" t="s">
        <v>12</v>
      </c>
      <c r="D12" s="463" t="str">
        <f>IF(COUNTIF(H$7:H$10,"")&gt;2,"",IF(LARGE(H$7:H$10,1)&lt;&gt;LARGE(H$7:H$10,2),CHOOSE(MATCH(LARGE(H$7:H$10,1),H$7:H$10,0),D$7,D$8,D$9,D$10),"empate"))</f>
        <v>Manuel Pinto (AE Sertã)</v>
      </c>
      <c r="E12" s="463"/>
      <c r="F12" s="463"/>
      <c r="G12" s="463"/>
      <c r="H12" s="463"/>
      <c r="I12" s="14"/>
      <c r="J12" s="13" t="s">
        <v>12</v>
      </c>
      <c r="K12" s="463" t="str">
        <f>IF(COUNTIF(O$7:O$10,"")&gt;2,"",IF(LARGE(O$7:O$10,1)&lt;&gt;LARGE(O$7:O$10,2),CHOOSE(MATCH(LARGE(O$7:O$10,1),O$7:O$10,0),K$7,K$8,K$9,K$10),"empate"))</f>
        <v/>
      </c>
      <c r="L12" s="463"/>
      <c r="M12" s="463"/>
      <c r="N12" s="463"/>
      <c r="O12" s="463"/>
      <c r="P12" s="14"/>
      <c r="Q12" s="13" t="s">
        <v>12</v>
      </c>
      <c r="R12" s="463" t="str">
        <f>IF(COUNTIF(V$7:V$10,"")&gt;2,"",IF(LARGE(V$7:V$10,1)&lt;&gt;LARGE(V$7:V$10,2),CHOOSE(MATCH(LARGE(V$7:V$10,1),V$7:V$10,0),R$7,R$8,R$9,R$10),"empate"))</f>
        <v/>
      </c>
      <c r="S12" s="463"/>
      <c r="T12" s="463"/>
      <c r="U12" s="463"/>
      <c r="V12" s="463"/>
      <c r="W12" s="14"/>
      <c r="X12" s="13" t="s">
        <v>12</v>
      </c>
      <c r="Y12" s="463" t="str">
        <f>IF(COUNTIF(AC$7:AC$10,"")&gt;2,"",IF(LARGE(AC$7:AC$10,1)&lt;&gt;LARGE(AC$7:AC$10,2),CHOOSE(MATCH(LARGE(AC$7:AC$10,1),AC$7:AC$10,0),Y$7,Y$8,Y$9,Y$10),"empate"))</f>
        <v/>
      </c>
      <c r="Z12" s="463"/>
      <c r="AA12" s="463"/>
      <c r="AB12" s="463"/>
      <c r="AC12" s="463"/>
      <c r="AD12" s="14"/>
      <c r="AE12" s="113"/>
      <c r="AG12" s="109">
        <f>$J$16</f>
        <v>3</v>
      </c>
      <c r="AH12" s="161"/>
      <c r="AI12" s="109">
        <f>$J$24</f>
        <v>19</v>
      </c>
      <c r="AJ12" s="161"/>
      <c r="AK12" s="109">
        <f>$O$60</f>
        <v>34</v>
      </c>
      <c r="AL12" s="161"/>
      <c r="AN12" s="323" t="s">
        <v>226</v>
      </c>
      <c r="AO12" s="321" t="str">
        <f>IF(D8="","",D8)</f>
        <v>A2</v>
      </c>
      <c r="AP12" s="324" t="str">
        <f>H8</f>
        <v/>
      </c>
      <c r="AQ12" s="324" t="str">
        <f>IF(AP12="","",(IF(F18="",0,F18)+IF(F23="",0,F23)+IF(F24="",0,F24))-(IF(F19="",0,F19)+IF(F22="",0,F22)+IF(F25="",0,F25)))</f>
        <v/>
      </c>
      <c r="AR12" s="324" t="str">
        <f>IF(AP12="","",(IF(F18="",0,SUM(G18:I18))+IF(F23="",0,SUM(G23:I23))+IF(F24="",0,SUM(G24:I24)))-(IF(F19="",0,SUM(G19:I19))+IF(F22="",0,SUM(G22:I22))+IF(F25="",0,SUM(G25:I25))))</f>
        <v/>
      </c>
      <c r="AS12" s="290"/>
      <c r="AT12" s="291"/>
      <c r="AU12" s="291"/>
      <c r="AV12" s="290"/>
      <c r="AW12" s="291"/>
      <c r="AX12" s="291"/>
      <c r="AY12" s="290"/>
      <c r="BA12" s="175"/>
      <c r="BB12" s="175"/>
    </row>
    <row r="13" spans="2:71" ht="15" customHeight="1">
      <c r="B13" s="126"/>
      <c r="C13" s="13" t="s">
        <v>13</v>
      </c>
      <c r="D13" s="463" t="str">
        <f>IF(COUNTIF(H$7:H$10,"")&gt;2,"",IF(COUNTIF(H$7:H$10,"")=2,CHOOSE(MATCH(LARGE(H$7:H$10,2),H$7:H$10,0),D$7,D$8,D$9,D$10),IF(AND(LARGE(H$7:H$10,2)&lt;&gt;LARGE(H$7:H$10,1),LARGE(H$7:H$10,2)&lt;&gt;LARGE(H$7:H$10,3)),CHOOSE(MATCH(LARGE(H$7:H$10,2),H$7:H$10,0),D$7,D$8,D$9,D$10),"empate")))</f>
        <v>A4</v>
      </c>
      <c r="E13" s="463"/>
      <c r="F13" s="463"/>
      <c r="G13" s="463"/>
      <c r="H13" s="463"/>
      <c r="I13" s="14"/>
      <c r="J13" s="13" t="s">
        <v>13</v>
      </c>
      <c r="K13" s="463" t="str">
        <f>IF(COUNTIF(O$7:O$10,"")&gt;2,"",IF(COUNTIF(O$7:O$10,"")=2,CHOOSE(MATCH(LARGE(O$7:O$10,2),O$7:O$10,0),K$7,K$8,K$9,K$10),IF(AND(LARGE(O$7:O$10,2)&lt;&gt;LARGE(O$7:O$10,1),LARGE(O$7:O$10,2)&lt;&gt;LARGE(O$7:O$10,3)),CHOOSE(MATCH(LARGE(O$7:O$10,2),O$7:O$10,0),K$7,K$8,K$9,K$10),"empate")))</f>
        <v/>
      </c>
      <c r="L13" s="463"/>
      <c r="M13" s="463"/>
      <c r="N13" s="463"/>
      <c r="O13" s="463"/>
      <c r="P13" s="14"/>
      <c r="Q13" s="13" t="s">
        <v>13</v>
      </c>
      <c r="R13" s="463" t="str">
        <f>IF(COUNTIF(V$7:V$10,"")&gt;2,"",IF(COUNTIF(V$7:V$10,"")=2,CHOOSE(MATCH(LARGE(V$7:V$10,2),V$7:V$10,0),R$7,R$8,R$9,R$10),IF(AND(LARGE(V$7:V$10,2)&lt;&gt;LARGE(V$7:V$10,1),LARGE(V$7:V$10,2)&lt;&gt;LARGE(V$7:V$10,3)),CHOOSE(MATCH(LARGE(V$7:V$10,2),V$7:V$10,0),R$7,R$8,R$9,R$10),"empate")))</f>
        <v/>
      </c>
      <c r="S13" s="463"/>
      <c r="T13" s="463"/>
      <c r="U13" s="463"/>
      <c r="V13" s="463"/>
      <c r="W13" s="14"/>
      <c r="X13" s="13" t="s">
        <v>13</v>
      </c>
      <c r="Y13" s="463" t="str">
        <f>IF(COUNTIF(AC$7:AC$10,"")&gt;2,"",IF(COUNTIF(AC$7:AC$10,"")=2,CHOOSE(MATCH(LARGE(AC$7:AC$10,2),AC$7:AC$10,0),Y$7,Y$8,Y$9,Y$10),IF(AND(LARGE(AC$7:AC$10,2)&lt;&gt;LARGE(AC$7:AC$10,1),LARGE(AC$7:AC$10,2)&lt;&gt;LARGE(AC$7:AC$10,3)),CHOOSE(MATCH(LARGE(AC$7:AC$10,2),AC$7:AC$10,0),Y$7,Y$8,Y$9,Y$10),"empate")))</f>
        <v/>
      </c>
      <c r="Z13" s="463"/>
      <c r="AA13" s="463"/>
      <c r="AB13" s="463"/>
      <c r="AC13" s="463"/>
      <c r="AD13" s="14"/>
      <c r="AE13" s="113"/>
      <c r="AG13" s="109">
        <f>$J$18</f>
        <v>4</v>
      </c>
      <c r="AH13" s="161"/>
      <c r="AI13" s="109">
        <f>$J$26</f>
        <v>20</v>
      </c>
      <c r="AJ13" s="161"/>
      <c r="AK13" s="109">
        <f>$V$56</f>
        <v>35</v>
      </c>
      <c r="AL13" s="161"/>
      <c r="AN13" s="323" t="s">
        <v>227</v>
      </c>
      <c r="AO13" s="321" t="str">
        <f>IF(D9="","",D9)</f>
        <v>A3</v>
      </c>
      <c r="AP13" s="324" t="str">
        <f>H9</f>
        <v/>
      </c>
      <c r="AQ13" s="324" t="str">
        <f>IF(AP13="","",(IF(F19="",0,F19)+IF(F21="",0,F21)+IF(F26="",0,F26))-(IF(F18="",0,F18)+IF(F20="",0,F20)+IF(F27="",0,F27)))</f>
        <v/>
      </c>
      <c r="AR13" s="324" t="str">
        <f>IF(AP13="","",(IF(F19="",0,SUM(G19:I19))+IF(F21="",0,SUM(G21:I21))+IF(F26="",0,SUM(G26:I26)))-(IF(F18="",0,SUM(G18:I18))+IF(F20="",0,SUM(G20:I20))+IF(F27="",0,SUM(G27:I27))))</f>
        <v/>
      </c>
      <c r="AS13" s="290"/>
      <c r="AT13" s="291"/>
      <c r="AU13" s="291"/>
      <c r="AV13" s="290"/>
      <c r="AW13" s="291"/>
      <c r="AX13" s="291"/>
      <c r="AY13" s="290"/>
    </row>
    <row r="14" spans="2:71" ht="15" customHeight="1" thickBot="1">
      <c r="B14" s="126"/>
      <c r="C14" s="6" t="s">
        <v>14</v>
      </c>
      <c r="D14" s="464" t="str">
        <f>IF(COUNTIF(H$7:H$10,"")&gt;=2,"",IF(COUNTIF(H$7:H$10,"")=1,IF(LARGE(H$7:H$10,3)&lt;&gt;LARGE(H$7:H$10,2),CHOOSE(MATCH(LARGE(H$7:H$10,3),H$7:H$10,0),D$7,D$8,D$9,D$10),"empate"),IF(AND(LARGE(H$7:H$10,3)&lt;&gt;LARGE(H$7:H$10,2),LARGE(H$7:H$10,3)&lt;&gt;LARGE(H$7:H$10,4)),CHOOSE(MATCH(LARGE(H$7:H$10,3),H$7:H$10,0),D$7,D$8,D$9,D$10),"empate")))</f>
        <v/>
      </c>
      <c r="E14" s="464"/>
      <c r="F14" s="464"/>
      <c r="G14" s="464"/>
      <c r="H14" s="464"/>
      <c r="I14" s="12"/>
      <c r="J14" s="15" t="s">
        <v>14</v>
      </c>
      <c r="K14" s="464" t="str">
        <f>IF(COUNTIF(O$7:O$10,"")&gt;=2,"",IF(COUNTIF(O$7:O$10,"")=1,IF(LARGE(O$7:O$10,3)&lt;&gt;LARGE(O$7:O$10,2),CHOOSE(MATCH(LARGE(O$7:O$10,3),O$7:O$10,0),K$7,K$8,K$9,K$10),"empate"),IF(AND(LARGE(O$7:O$10,3)&lt;&gt;LARGE(O$7:O$10,2),LARGE(O$7:O$10,3)&lt;&gt;LARGE(O$7:O$10,4)),CHOOSE(MATCH(LARGE(O$7:O$10,3),O$7:O$10,0),K$7,K$8,K$9,K$10),"empate")))</f>
        <v/>
      </c>
      <c r="L14" s="464"/>
      <c r="M14" s="464"/>
      <c r="N14" s="464"/>
      <c r="O14" s="464"/>
      <c r="P14" s="16"/>
      <c r="Q14" s="6" t="s">
        <v>14</v>
      </c>
      <c r="R14" s="464" t="str">
        <f>IF(COUNTIF(V$7:V$10,"")&gt;=2,"",IF(COUNTIF(V$7:V$10,"")=1,IF(LARGE(V$7:V$10,3)&lt;&gt;LARGE(V$7:V$10,2),CHOOSE(MATCH(LARGE(V$7:V$10,3),V$7:V$10,0),R$7,R$8,R$9,R$10),"empate"),IF(AND(LARGE(V$7:V$10,3)&lt;&gt;LARGE(V$7:V$10,2),LARGE(V$7:V$10,3)&lt;&gt;LARGE(V$7:V$10,4)),CHOOSE(MATCH(LARGE(V$7:V$10,3),V$7:V$10,0),R$7,R$8,R$9,R$10),"empate")))</f>
        <v/>
      </c>
      <c r="S14" s="464"/>
      <c r="T14" s="464"/>
      <c r="U14" s="464"/>
      <c r="V14" s="464"/>
      <c r="W14" s="12"/>
      <c r="X14" s="6" t="s">
        <v>14</v>
      </c>
      <c r="Y14" s="464" t="str">
        <f>IF(COUNTIF(AC$7:AC$10,"")&gt;=2,"",IF(COUNTIF(AC$7:AC$10,"")=1,IF(LARGE(AC$7:AC$10,3)&lt;&gt;LARGE(AC$7:AC$10,2),CHOOSE(MATCH(LARGE(AC$7:AC$10,3),AC$7:AC$10,0),Y$7,Y$8,Y$9,Y$10),"empate"),IF(AND(LARGE(AC$7:AC$10,3)&lt;&gt;LARGE(AC$7:AC$10,2),LARGE(AC$7:AC$10,3)&lt;&gt;LARGE(AC$7:AC$10,4)),CHOOSE(MATCH(LARGE(AC$7:AC$10,3),AC$7:AC$10,0),Y$7,Y$8,Y$9,Y$10),"empate")))</f>
        <v/>
      </c>
      <c r="Z14" s="464"/>
      <c r="AA14" s="464"/>
      <c r="AB14" s="464"/>
      <c r="AC14" s="464"/>
      <c r="AD14" s="12"/>
      <c r="AE14" s="113"/>
      <c r="AG14" s="109">
        <f>$Q$16</f>
        <v>5</v>
      </c>
      <c r="AH14" s="161"/>
      <c r="AI14" s="109">
        <f>$Q$24</f>
        <v>21</v>
      </c>
      <c r="AJ14" s="161"/>
      <c r="AK14" s="130">
        <f>$W$56</f>
        <v>36</v>
      </c>
      <c r="AL14" s="163"/>
      <c r="AN14" s="325" t="s">
        <v>251</v>
      </c>
      <c r="AO14" s="326" t="str">
        <f>IF(D10="","",D10)</f>
        <v>A4</v>
      </c>
      <c r="AP14" s="324">
        <f>H10</f>
        <v>0</v>
      </c>
      <c r="AQ14" s="326">
        <f>IF(AP14="","",(IF(F17="",0,F17)+IF(F20="",0,F20)+IF(F25="",0,F25))-(IF(F16="",0,F16)+IF(F21="",0,F21)+IF(F24="",0,F24)))</f>
        <v>-1</v>
      </c>
      <c r="AR14" s="326">
        <f>IF(AP14="","",(IF(F17="",0,SUM(G17:I17))+IF(F20="",0,SUM(G20:I20))+IF(F25="",0,SUM(G25:I25)))-(IF(F16="",0,SUM(G16:I16))+IF(F21="",0,SUM(G21:I21))+IF(F24="",0,SUM(G24:I24))))</f>
        <v>-6</v>
      </c>
      <c r="AS14" s="290"/>
      <c r="AT14" s="291"/>
      <c r="AU14" s="291"/>
      <c r="AV14" s="290"/>
      <c r="AW14" s="291"/>
      <c r="AX14" s="291"/>
      <c r="AY14" s="290"/>
    </row>
    <row r="15" spans="2:71" ht="19.5" customHeight="1" thickBot="1">
      <c r="B15" s="126"/>
      <c r="C15" s="17" t="s">
        <v>15</v>
      </c>
      <c r="D15" s="453" t="str">
        <f>IF(COUNTIF(H$7:H$10,"")&gt;=1,"",IF(LARGE(H$7:H$10,4)&lt;&gt;LARGE(H$7:H$10,3),CHOOSE(MATCH(LARGE(H$7:H$10,4),H$7:H$10,0),D$7,D$8,D$9,D$10),"empate"))</f>
        <v/>
      </c>
      <c r="E15" s="453"/>
      <c r="F15" s="453"/>
      <c r="G15" s="453"/>
      <c r="H15" s="453"/>
      <c r="I15" s="18"/>
      <c r="J15" s="19" t="s">
        <v>15</v>
      </c>
      <c r="K15" s="453" t="str">
        <f>IF(COUNTIF(O$7:O$10,"")&gt;=1,"",IF(LARGE(O$7:O$10,4)&lt;&gt;LARGE(O$7:O$10,3),CHOOSE(MATCH(LARGE(O$7:O$10,4),O$7:O$10,0),K$7,K$8,K$9,K$10),"empate"))</f>
        <v/>
      </c>
      <c r="L15" s="453"/>
      <c r="M15" s="453"/>
      <c r="N15" s="453"/>
      <c r="O15" s="453"/>
      <c r="P15" s="20"/>
      <c r="Q15" s="17" t="s">
        <v>15</v>
      </c>
      <c r="R15" s="453" t="str">
        <f>IF(COUNTIF(V$7:V$10,"")&gt;=1,"",IF(LARGE(V$7:V$10,4)&lt;&gt;LARGE(V$7:V$10,3),CHOOSE(MATCH(LARGE(V$7:V$10,4),V$7:V$10,0),R$7,R$8,R$9,R$10),"empate"))</f>
        <v/>
      </c>
      <c r="S15" s="453"/>
      <c r="T15" s="453"/>
      <c r="U15" s="453"/>
      <c r="V15" s="453"/>
      <c r="W15" s="18"/>
      <c r="X15" s="17" t="s">
        <v>15</v>
      </c>
      <c r="Y15" s="453" t="str">
        <f>IF(COUNTIF(AC$7:AC$10,"")&gt;=1,"",IF(LARGE(AC$7:AC$10,4)&lt;&gt;LARGE(AC$7:AC$10,3),CHOOSE(MATCH(LARGE(AC$7:AC$10,4),AC$7:AC$10,0),Y$7,Y$8,Y$9,Y$10),"empate"))</f>
        <v/>
      </c>
      <c r="Z15" s="453"/>
      <c r="AA15" s="453"/>
      <c r="AB15" s="453"/>
      <c r="AC15" s="453"/>
      <c r="AD15" s="18"/>
      <c r="AE15" s="113"/>
      <c r="AG15" s="109">
        <f>$Q$18</f>
        <v>6</v>
      </c>
      <c r="AH15" s="161"/>
      <c r="AI15" s="109">
        <f>$Q$26</f>
        <v>22</v>
      </c>
      <c r="AJ15" s="161"/>
      <c r="AK15" s="454" t="s">
        <v>223</v>
      </c>
      <c r="AL15" s="455"/>
      <c r="AN15" s="327" t="s">
        <v>228</v>
      </c>
      <c r="AO15" s="328" t="str">
        <f>IF(K7="","",K7)</f>
        <v>B1</v>
      </c>
      <c r="AP15" s="329" t="str">
        <f>O7</f>
        <v/>
      </c>
      <c r="AQ15" s="329" t="str">
        <f>IF(AP15="","",(IF(M16="",0,M16)+IF(M22="",0,M22)+IF(M27="",0,M27))-(IF(M17="",0,M17)+IF(M23="",0,M23)+IF(M26="",0,M26)))</f>
        <v/>
      </c>
      <c r="AR15" s="329" t="str">
        <f>IF(AP15="","",(IF(M16="",0,SUM(N16:P16))+IF(M22="",0,SUM(N22:P22))+IF(M27="",0,SUM(N27:P27)))-(IF(M17="",0,SUM(N17:P17))+IF(M23="",0,SUM(N23:P23))+IF(M26="",0,SUM(N26:P26))))</f>
        <v/>
      </c>
      <c r="AS15" s="290"/>
      <c r="AT15" s="291"/>
      <c r="AU15" s="291"/>
      <c r="AV15" s="290"/>
      <c r="AW15" s="291"/>
      <c r="AX15" s="291"/>
      <c r="AY15" s="290"/>
    </row>
    <row r="16" spans="2:71" ht="15" customHeight="1">
      <c r="B16" s="126"/>
      <c r="C16" s="456">
        <v>1</v>
      </c>
      <c r="D16" s="458" t="str">
        <f>IF(OR(D7="",D10=""),"",D7)</f>
        <v>Manuel Pinto (AE Sertã)</v>
      </c>
      <c r="E16" s="458"/>
      <c r="F16" s="21">
        <f>IF(COUNT(G16:I16)&lt;1,"",IF(SUM(IF(G16&gt;G17,1,0),IF(H16&gt;H17,1,0),IF(I16&gt;I17,1,0))&gt;2,"??",SUM(IF(G16&gt;G17,1,0),IF(H16&gt;H17,1,0),IF(I16&gt;I17,1,0))))</f>
        <v>2</v>
      </c>
      <c r="G16" s="138">
        <v>21</v>
      </c>
      <c r="H16" s="139">
        <v>15</v>
      </c>
      <c r="I16" s="140">
        <v>21</v>
      </c>
      <c r="J16" s="459">
        <v>3</v>
      </c>
      <c r="K16" s="458" t="str">
        <f>IF(OR(K7="",K10=""),"",K7)</f>
        <v>B1</v>
      </c>
      <c r="L16" s="458"/>
      <c r="M16" s="21" t="str">
        <f>IF(COUNT(N16:P16)&lt;1,"",IF(SUM(IF(N16&gt;N17,1,0),IF(O16&gt;O17,1,0),IF(P16&gt;P17,1,0))&gt;2,"??",SUM(IF(N16&gt;N17,1,0),IF(O16&gt;O17,1,0),IF(P16&gt;P17,1,0))))</f>
        <v/>
      </c>
      <c r="N16" s="138"/>
      <c r="O16" s="139"/>
      <c r="P16" s="140"/>
      <c r="Q16" s="459">
        <v>5</v>
      </c>
      <c r="R16" s="458" t="str">
        <f>IF(OR(R7="",R10=""),"",R7)</f>
        <v>C1</v>
      </c>
      <c r="S16" s="458"/>
      <c r="T16" s="21" t="str">
        <f>IF(COUNT(U16:W16)&lt;1,"",IF(SUM(IF(U16&gt;U17,1,0),IF(V16&gt;V17,1,0),IF(W16&gt;W17,1,0))&gt;2,"??",SUM(IF(U16&gt;U17,1,0),IF(V16&gt;V17,1,0),IF(W16&gt;W17,1,0))))</f>
        <v/>
      </c>
      <c r="U16" s="138"/>
      <c r="V16" s="139"/>
      <c r="W16" s="140"/>
      <c r="X16" s="459">
        <v>7</v>
      </c>
      <c r="Y16" s="458" t="str">
        <f>IF(OR(Y7="",Y10=""),"",Y7)</f>
        <v>D1</v>
      </c>
      <c r="Z16" s="458"/>
      <c r="AA16" s="21" t="str">
        <f>IF(COUNT(AB16:AD16)&lt;1,"",IF(SUM(IF(AB16&gt;AB17,1,0),IF(AC16&gt;AC17,1,0),IF(AD16&gt;AD17,1,0))&gt;2,"??",SUM(IF(AB16&gt;AB17,1,0),IF(AC16&gt;AC17,1,0),IF(AD16&gt;AD17,1,0))))</f>
        <v/>
      </c>
      <c r="AB16" s="138"/>
      <c r="AC16" s="139"/>
      <c r="AD16" s="140"/>
      <c r="AE16" s="461" t="s">
        <v>43</v>
      </c>
      <c r="AG16" s="109">
        <f>$X$16</f>
        <v>7</v>
      </c>
      <c r="AH16" s="161"/>
      <c r="AI16" s="109">
        <f>$X$24</f>
        <v>23</v>
      </c>
      <c r="AJ16" s="161"/>
      <c r="AK16" s="159">
        <f>$O$70</f>
        <v>37</v>
      </c>
      <c r="AL16" s="160"/>
      <c r="AN16" s="330" t="s">
        <v>229</v>
      </c>
      <c r="AO16" s="331" t="str">
        <f>IF(K8="","",K8)</f>
        <v>B2</v>
      </c>
      <c r="AP16" s="331" t="str">
        <f>O8</f>
        <v/>
      </c>
      <c r="AQ16" s="331" t="str">
        <f>IF(AP16="","",(IF(M18="",0,M18)+IF(M23="",0,M23)+IF(M24="",0,M24))-(IF(M19="",0,M19)+IF(M22="",0,M22)+IF(M25="",0,M25)))</f>
        <v/>
      </c>
      <c r="AR16" s="331" t="str">
        <f>IF(AP16="","",(IF(M18="",0,SUM(N18:P18))+IF(M23="",0,SUM(N23:P23))+IF(M24="",0,SUM(N24:P24)))-(IF(M19="",0,SUM(N19:P19))+IF(M22="",0,SUM(N22:P22))+IF(M25="",0,SUM(N25:P25))))</f>
        <v/>
      </c>
      <c r="AS16" s="290"/>
      <c r="AT16" s="317"/>
      <c r="AU16" s="291"/>
      <c r="AV16" s="290"/>
      <c r="AW16" s="291"/>
      <c r="AX16" s="291"/>
      <c r="AY16" s="290"/>
    </row>
    <row r="17" spans="2:51" ht="15" customHeight="1">
      <c r="B17" s="126"/>
      <c r="C17" s="457"/>
      <c r="D17" s="437" t="str">
        <f>IF(OR(D7="",D10=""),"",D10)</f>
        <v>A4</v>
      </c>
      <c r="E17" s="437"/>
      <c r="F17" s="22">
        <f>IF(COUNT(G17:I17)&lt;1,"",IF(SUM(IF(G17&gt;G16,1,0),IF(H17&gt;H16,1,0),IF(I17&gt;I16,1,0))&gt;2,"??",SUM(IF(G17&gt;G16,1,0),IF(H17&gt;H16,1,0),IF(I17&gt;I16,1,0))))</f>
        <v>1</v>
      </c>
      <c r="G17" s="141">
        <v>12</v>
      </c>
      <c r="H17" s="142">
        <v>21</v>
      </c>
      <c r="I17" s="143">
        <v>18</v>
      </c>
      <c r="J17" s="460"/>
      <c r="K17" s="437" t="str">
        <f>IF(OR(K7="",K10=""),"",K10)</f>
        <v>B4</v>
      </c>
      <c r="L17" s="437"/>
      <c r="M17" s="22" t="str">
        <f>IF(COUNT(N17:P17)&lt;1,"",IF(SUM(IF(N17&gt;N16,1,0),IF(O17&gt;O16,1,0),IF(P17&gt;P16,1,0))&gt;2,"??",SUM(IF(N17&gt;N16,1,0),IF(O17&gt;O16,1,0),IF(P17&gt;P16,1,0))))</f>
        <v/>
      </c>
      <c r="N17" s="141"/>
      <c r="O17" s="142"/>
      <c r="P17" s="143"/>
      <c r="Q17" s="460"/>
      <c r="R17" s="437" t="str">
        <f>IF(OR(R7="",R10=""),"",R10)</f>
        <v>C4</v>
      </c>
      <c r="S17" s="437"/>
      <c r="T17" s="22" t="str">
        <f>IF(COUNT(U17:W17)&lt;1,"",IF(SUM(IF(U17&gt;U16,1,0),IF(V17&gt;V16,1,0),IF(W17&gt;W16,1,0))&gt;2,"??",SUM(IF(U17&gt;U16,1,0),IF(V17&gt;V16,1,0),IF(W17&gt;W16,1,0))))</f>
        <v/>
      </c>
      <c r="U17" s="141"/>
      <c r="V17" s="142"/>
      <c r="W17" s="143"/>
      <c r="X17" s="460"/>
      <c r="Y17" s="437" t="str">
        <f>IF(OR(Y7="",Y10=""),"",Y10)</f>
        <v>D4</v>
      </c>
      <c r="Z17" s="437"/>
      <c r="AA17" s="22" t="str">
        <f>IF(COUNT(AB17:AD17)&lt;1,"",IF(SUM(IF(AB17&gt;AB16,1,0),IF(AC17&gt;AC16,1,0),IF(AD17&gt;AD16,1,0))&gt;2,"??",SUM(IF(AB17&gt;AB16,1,0),IF(AC17&gt;AC16,1,0),IF(AD17&gt;AD16,1,0))))</f>
        <v/>
      </c>
      <c r="AB17" s="141"/>
      <c r="AC17" s="142"/>
      <c r="AD17" s="143"/>
      <c r="AE17" s="435"/>
      <c r="AG17" s="109">
        <f>$X$18</f>
        <v>8</v>
      </c>
      <c r="AH17" s="161"/>
      <c r="AI17" s="109">
        <f>$X$26</f>
        <v>24</v>
      </c>
      <c r="AJ17" s="161"/>
      <c r="AK17" s="109">
        <f>$O$78</f>
        <v>38</v>
      </c>
      <c r="AL17" s="161"/>
      <c r="AN17" s="330" t="s">
        <v>230</v>
      </c>
      <c r="AO17" s="331" t="str">
        <f>IF(K9="","",K9)</f>
        <v>B3</v>
      </c>
      <c r="AP17" s="331" t="str">
        <f>O9</f>
        <v/>
      </c>
      <c r="AQ17" s="331" t="str">
        <f>IF(AP17="","",(IF(M19="",0,M19)+IF(M21="",0,M21)+IF(M26="",0,M26))-(IF(M18="",0,M18)+IF(M20="",0,M20)+IF(M27="",0,M27)))</f>
        <v/>
      </c>
      <c r="AR17" s="331" t="str">
        <f>IF(AP17="","",(IF(M19="",0,SUM(N19:P19))+IF(M21="",0,SUM(N21:P21))+IF(M26="",0,SUM(N26:P26)))-(IF(M18="",0,SUM(N18:P18))+IF(M20="",0,SUM(N20:P20))+IF(M27="",0,SUM(N27:P27))))</f>
        <v/>
      </c>
      <c r="AS17" s="290"/>
      <c r="AT17" s="291"/>
      <c r="AU17" s="291"/>
      <c r="AV17" s="290"/>
      <c r="AW17" s="291"/>
      <c r="AX17" s="291"/>
      <c r="AY17" s="290"/>
    </row>
    <row r="18" spans="2:51" ht="15" customHeight="1">
      <c r="B18" s="126"/>
      <c r="C18" s="428">
        <v>2</v>
      </c>
      <c r="D18" s="430" t="str">
        <f>IF(OR(D8="",D9=""),"",D8)</f>
        <v>A2</v>
      </c>
      <c r="E18" s="430"/>
      <c r="F18" s="23" t="str">
        <f>IF(COUNT(G18:I18)&lt;1,"",IF(SUM(IF(G18&gt;G19,1,0),IF(H18&gt;H19,1,0),IF(I18&gt;I19,1,0))&gt;2,"??",SUM(IF(G18&gt;G19,1,0),IF(H18&gt;H19,1,0),IF(I18&gt;I19,1,0))))</f>
        <v/>
      </c>
      <c r="G18" s="144"/>
      <c r="H18" s="145"/>
      <c r="I18" s="146"/>
      <c r="J18" s="428">
        <v>4</v>
      </c>
      <c r="K18" s="430" t="str">
        <f>IF(OR(K8="",K9=""),"",K8)</f>
        <v>B2</v>
      </c>
      <c r="L18" s="430"/>
      <c r="M18" s="23" t="str">
        <f>IF(COUNT(N18:P18)&lt;1,"",IF(SUM(IF(N18&gt;N19,1,0),IF(O18&gt;O19,1,0),IF(P18&gt;P19,1,0))&gt;2,"??",SUM(IF(N18&gt;N19,1,0),IF(O18&gt;O19,1,0),IF(P18&gt;P19,1,0))))</f>
        <v/>
      </c>
      <c r="N18" s="144"/>
      <c r="O18" s="145"/>
      <c r="P18" s="146"/>
      <c r="Q18" s="428">
        <v>6</v>
      </c>
      <c r="R18" s="430" t="str">
        <f>IF(OR(R8="",R9=""),"",R8)</f>
        <v>C2</v>
      </c>
      <c r="S18" s="430"/>
      <c r="T18" s="23" t="str">
        <f>IF(COUNT(U18:W18)&lt;1,"",IF(SUM(IF(U18&gt;U19,1,0),IF(V18&gt;V19,1,0),IF(W18&gt;W19,1,0))&gt;2,"??",SUM(IF(U18&gt;U19,1,0),IF(V18&gt;V19,1,0),IF(W18&gt;W19,1,0))))</f>
        <v/>
      </c>
      <c r="U18" s="144"/>
      <c r="V18" s="145"/>
      <c r="W18" s="146"/>
      <c r="X18" s="428">
        <v>8</v>
      </c>
      <c r="Y18" s="430" t="str">
        <f>IF(OR(Y8="",Y9=""),"",Y8)</f>
        <v>D2</v>
      </c>
      <c r="Z18" s="430"/>
      <c r="AA18" s="23" t="str">
        <f>IF(COUNT(AB18:AD18)&lt;1,"",IF(SUM(IF(AB18&gt;AB19,1,0),IF(AC18&gt;AC19,1,0),IF(AD18&gt;AD19,1,0))&gt;2,"??",SUM(IF(AB18&gt;AB19,1,0),IF(AC18&gt;AC19,1,0),IF(AD18&gt;AD19,1,0))))</f>
        <v/>
      </c>
      <c r="AB18" s="144"/>
      <c r="AC18" s="145"/>
      <c r="AD18" s="146"/>
      <c r="AE18" s="435"/>
      <c r="AG18" s="131">
        <f>$C$20</f>
        <v>9</v>
      </c>
      <c r="AH18" s="162"/>
      <c r="AI18" s="131">
        <f>$H$31</f>
        <v>25</v>
      </c>
      <c r="AJ18" s="162"/>
      <c r="AK18" s="109">
        <f>$V$74</f>
        <v>39</v>
      </c>
      <c r="AL18" s="161"/>
      <c r="AN18" s="332" t="s">
        <v>231</v>
      </c>
      <c r="AO18" s="333" t="str">
        <f>IF(K10="","",K10)</f>
        <v>B4</v>
      </c>
      <c r="AP18" s="331" t="str">
        <f>O10</f>
        <v/>
      </c>
      <c r="AQ18" s="333" t="str">
        <f>IF(AP18="","",(IF(M17="",0,M17)+IF(M20="",0,M20)+IF(M25="",0,M25))-(IF(M16="",0,M16)+IF(M21="",0,M21)+IF(M24="",0,M24)))</f>
        <v/>
      </c>
      <c r="AR18" s="333" t="str">
        <f>IF(AP18="","",(IF(M17="",0,SUM(N17:P17))+IF(M20="",0,SUM(N20:P20))+IF(M25="",0,SUM(N25:P25)))-(IF(M16="",0,SUM(N16:P16))+IF(M21="",0,SUM(N21:P21))+IF(M24="",0,SUM(N24:P24))))</f>
        <v/>
      </c>
      <c r="AS18" s="290"/>
      <c r="AT18" s="291"/>
      <c r="AU18" s="291"/>
      <c r="AV18" s="290"/>
      <c r="AW18" s="291"/>
      <c r="AX18" s="291"/>
      <c r="AY18" s="290"/>
    </row>
    <row r="19" spans="2:51" ht="15" customHeight="1" thickBot="1">
      <c r="B19" s="126"/>
      <c r="C19" s="451"/>
      <c r="D19" s="452" t="str">
        <f>IF(OR(D8="",D9=""),"",D9)</f>
        <v>A3</v>
      </c>
      <c r="E19" s="452"/>
      <c r="F19" s="24" t="str">
        <f>IF(COUNT(G19:I19)&lt;1,"",IF(SUM(IF(G19&gt;G18,1,0),IF(H19&gt;H18,1,0),IF(I19&gt;I18,1,0))&gt;2,"??",SUM(IF(G19&gt;G18,1,0),IF(H19&gt;H18,1,0),IF(I19&gt;I18,1,0))))</f>
        <v/>
      </c>
      <c r="G19" s="147"/>
      <c r="H19" s="148"/>
      <c r="I19" s="149"/>
      <c r="J19" s="451"/>
      <c r="K19" s="452" t="str">
        <f>IF(OR(K8="",K9=""),"",K9)</f>
        <v>B3</v>
      </c>
      <c r="L19" s="452"/>
      <c r="M19" s="24" t="str">
        <f>IF(COUNT(N19:P19)&lt;1,"",IF(SUM(IF(N19&gt;N18,1,0),IF(O19&gt;O18,1,0),IF(P19&gt;P18,1,0))&gt;2,"??",SUM(IF(N19&gt;N18,1,0),IF(O19&gt;O18,1,0),IF(P19&gt;P18,1,0))))</f>
        <v/>
      </c>
      <c r="N19" s="147"/>
      <c r="O19" s="148"/>
      <c r="P19" s="149"/>
      <c r="Q19" s="451"/>
      <c r="R19" s="452" t="str">
        <f>IF(OR(R8="",R9=""),"",R9)</f>
        <v>C3</v>
      </c>
      <c r="S19" s="452"/>
      <c r="T19" s="24" t="str">
        <f>IF(COUNT(U19:W19)&lt;1,"",IF(SUM(IF(U19&gt;U18,1,0),IF(V19&gt;V18,1,0),IF(W19&gt;W18,1,0))&gt;2,"??",SUM(IF(U19&gt;U18,1,0),IF(V19&gt;V18,1,0),IF(W19&gt;W18,1,0))))</f>
        <v/>
      </c>
      <c r="U19" s="147"/>
      <c r="V19" s="148"/>
      <c r="W19" s="149"/>
      <c r="X19" s="451"/>
      <c r="Y19" s="452" t="str">
        <f>IF(OR(Y8="",Y9=""),"",Y9)</f>
        <v>D3</v>
      </c>
      <c r="Z19" s="452"/>
      <c r="AA19" s="24" t="str">
        <f>IF(COUNT(AB19:AD19)&lt;1,"",IF(SUM(IF(AB19&gt;AB18,1,0),IF(AC19&gt;AC18,1,0),IF(AD19&gt;AD18,1,0))&gt;2,"??",SUM(IF(AB19&gt;AB18,1,0),IF(AC19&gt;AC18,1,0),IF(AD19&gt;AD18,1,0))))</f>
        <v/>
      </c>
      <c r="AB19" s="147"/>
      <c r="AC19" s="148"/>
      <c r="AD19" s="149"/>
      <c r="AE19" s="462"/>
      <c r="AG19" s="109">
        <f>$C$22</f>
        <v>10</v>
      </c>
      <c r="AH19" s="161"/>
      <c r="AI19" s="109">
        <f>$H$35</f>
        <v>26</v>
      </c>
      <c r="AJ19" s="161"/>
      <c r="AK19" s="130">
        <f>$W$74</f>
        <v>40</v>
      </c>
      <c r="AL19" s="163"/>
      <c r="AN19" s="334" t="s">
        <v>232</v>
      </c>
      <c r="AO19" s="322" t="str">
        <f>IF(R7="","",R7)</f>
        <v>C1</v>
      </c>
      <c r="AP19" s="322" t="str">
        <f>V7</f>
        <v/>
      </c>
      <c r="AQ19" s="335" t="str">
        <f>IF(AP19="","",(IF(T16="",0,T16)+IF(T22="",0,T22)+IF(T27="",0,T27))-(IF(T17="",0,T17)+IF(T23="",0,T23)+IF(T26="",0,T26)))</f>
        <v/>
      </c>
      <c r="AR19" s="322" t="str">
        <f>IF(AP19="","",(IF(T16="",0,SUM(U16:W16))+IF(T22="",0,SUM(U22:W22))+IF(T27="",0,SUM(U27:W27)))-(IF(T17="",0,SUM(U17:W17))+IF(T23="",0,SUM(U23:W23))+IF(T26="",0,SUM(U26:W26))))</f>
        <v/>
      </c>
      <c r="AS19" s="290"/>
      <c r="AT19" s="291"/>
      <c r="AU19" s="291"/>
      <c r="AV19" s="290"/>
      <c r="AW19" s="291"/>
      <c r="AX19" s="291"/>
      <c r="AY19" s="290"/>
    </row>
    <row r="20" spans="2:51" ht="15" customHeight="1" thickTop="1" thickBot="1">
      <c r="B20" s="126"/>
      <c r="C20" s="448">
        <v>9</v>
      </c>
      <c r="D20" s="450" t="str">
        <f>IF(OR(D9="",D10=""),"",D10)</f>
        <v>A4</v>
      </c>
      <c r="E20" s="450"/>
      <c r="F20" s="25" t="str">
        <f>IF(COUNT(G20:I20)&lt;1,"",IF(SUM(IF(G20&gt;G21,1,0),IF(H20&gt;H21,1,0),IF(I20&gt;I21,1,0))&gt;2,"??",SUM(IF(G20&gt;G21,1,0),IF(H20&gt;H21,1,0),IF(I20&gt;I21,1,0))))</f>
        <v/>
      </c>
      <c r="G20" s="150"/>
      <c r="H20" s="151"/>
      <c r="I20" s="152"/>
      <c r="J20" s="448">
        <v>11</v>
      </c>
      <c r="K20" s="450" t="str">
        <f>IF(OR(K9="",K10=""),"",K10)</f>
        <v>B4</v>
      </c>
      <c r="L20" s="450"/>
      <c r="M20" s="25" t="str">
        <f>IF(COUNT(N20:P20)&lt;1,"",IF(SUM(IF(N20&gt;N21,1,0),IF(O20&gt;O21,1,0),IF(P20&gt;P21,1,0))&gt;2,"??",SUM(IF(N20&gt;N21,1,0),IF(O20&gt;O21,1,0),IF(P20&gt;P21,1,0))))</f>
        <v/>
      </c>
      <c r="N20" s="150"/>
      <c r="O20" s="151"/>
      <c r="P20" s="152"/>
      <c r="Q20" s="448">
        <v>13</v>
      </c>
      <c r="R20" s="450" t="str">
        <f>IF(OR(R9="",R10=""),"",R10)</f>
        <v>C4</v>
      </c>
      <c r="S20" s="450"/>
      <c r="T20" s="25" t="str">
        <f>IF(COUNT(U20:W20)&lt;1,"",IF(SUM(IF(U20&gt;U21,1,0),IF(V20&gt;V21,1,0),IF(W20&gt;W21,1,0))&gt;2,"??",SUM(IF(U20&gt;U21,1,0),IF(V20&gt;V21,1,0),IF(W20&gt;W21,1,0))))</f>
        <v/>
      </c>
      <c r="U20" s="150"/>
      <c r="V20" s="151"/>
      <c r="W20" s="152"/>
      <c r="X20" s="448">
        <v>15</v>
      </c>
      <c r="Y20" s="450" t="str">
        <f>IF(OR(Y9="",Y10=""),"",Y10)</f>
        <v>D4</v>
      </c>
      <c r="Z20" s="450"/>
      <c r="AA20" s="25" t="str">
        <f>IF(COUNT(AB20:AD20)&lt;1,"",IF(SUM(IF(AB20&gt;AB21,1,0),IF(AC20&gt;AC21,1,0),IF(AD20&gt;AD21,1,0))&gt;2,"??",SUM(IF(AB20&gt;AB21,1,0),IF(AC20&gt;AC21,1,0),IF(AD20&gt;AD21,1,0))))</f>
        <v/>
      </c>
      <c r="AB20" s="150"/>
      <c r="AC20" s="151"/>
      <c r="AD20" s="152"/>
      <c r="AE20" s="442" t="s">
        <v>44</v>
      </c>
      <c r="AG20" s="109">
        <f>$J$20</f>
        <v>11</v>
      </c>
      <c r="AH20" s="161"/>
      <c r="AI20" s="109">
        <f>$H$39</f>
        <v>27</v>
      </c>
      <c r="AJ20" s="161"/>
      <c r="AK20" s="445" t="s">
        <v>246</v>
      </c>
      <c r="AL20" s="446"/>
      <c r="AN20" s="323" t="s">
        <v>233</v>
      </c>
      <c r="AO20" s="324" t="str">
        <f>IF(R8="","",R8)</f>
        <v>C2</v>
      </c>
      <c r="AP20" s="324" t="str">
        <f>V8</f>
        <v/>
      </c>
      <c r="AQ20" s="336" t="str">
        <f>IF(AP20="","",(IF(T18="",0,T18)+IF(T23="",0,T23)+IF(T24="",0,T24))-(IF(T19="",0,T19)+IF(T22="",0,T22)+IF(T25="",0,T25)))</f>
        <v/>
      </c>
      <c r="AR20" s="324" t="str">
        <f>IF(AP20="","",(IF(T18="",0,SUM(U18:W18))+IF(T23="",0,SUM(U23:W23))+IF(T24="",0,SUM(U24:W24)))-(IF(T19="",0,SUM(U19:W19))+IF(T22="",0,SUM(U22:W22))+IF(T25="",0,SUM(U25:W25))))</f>
        <v/>
      </c>
      <c r="AS20" s="290"/>
      <c r="AT20" s="291"/>
      <c r="AU20" s="291"/>
      <c r="AV20" s="290"/>
      <c r="AW20" s="291"/>
      <c r="AX20" s="291"/>
      <c r="AY20" s="290"/>
    </row>
    <row r="21" spans="2:51" ht="15" customHeight="1">
      <c r="B21" s="126"/>
      <c r="C21" s="449"/>
      <c r="D21" s="447" t="str">
        <f>IF(OR(D9="",D10=""),"",D9)</f>
        <v>A3</v>
      </c>
      <c r="E21" s="447"/>
      <c r="F21" s="26" t="str">
        <f>IF(COUNT(G21:I21)&lt;1,"",IF(SUM(IF(G21&gt;G20,1,0),IF(H21&gt;H20,1,0),IF(I21&gt;I20,1,0))&gt;2,"??",SUM(IF(G21&gt;G20,1,0),IF(H21&gt;H20,1,0),IF(I21&gt;I20,1,0))))</f>
        <v/>
      </c>
      <c r="G21" s="141"/>
      <c r="H21" s="142"/>
      <c r="I21" s="143"/>
      <c r="J21" s="449"/>
      <c r="K21" s="447" t="str">
        <f>IF(OR(K9="",K10=""),"",K9)</f>
        <v>B3</v>
      </c>
      <c r="L21" s="447"/>
      <c r="M21" s="26" t="str">
        <f>IF(COUNT(N21:P21)&lt;1,"",IF(SUM(IF(N21&gt;N20,1,0),IF(O21&gt;O20,1,0),IF(P21&gt;P20,1,0))&gt;2,"??",SUM(IF(N21&gt;N20,1,0),IF(O21&gt;O20,1,0),IF(P21&gt;P20,1,0))))</f>
        <v/>
      </c>
      <c r="N21" s="141"/>
      <c r="O21" s="142"/>
      <c r="P21" s="143"/>
      <c r="Q21" s="449"/>
      <c r="R21" s="447" t="str">
        <f>IF(OR(R9="",R10=""),"",R9)</f>
        <v>C3</v>
      </c>
      <c r="S21" s="447"/>
      <c r="T21" s="26" t="str">
        <f>IF(COUNT(U21:W21)&lt;1,"",IF(SUM(IF(U21&gt;U20,1,0),IF(V21&gt;V20,1,0),IF(W21&gt;W20,1,0))&gt;2,"??",SUM(IF(U21&gt;U20,1,0),IF(V21&gt;V20,1,0),IF(W21&gt;W20,1,0))))</f>
        <v/>
      </c>
      <c r="U21" s="141"/>
      <c r="V21" s="142"/>
      <c r="W21" s="143"/>
      <c r="X21" s="449"/>
      <c r="Y21" s="447" t="str">
        <f>IF(OR(Y9="",Y10=""),"",Y9)</f>
        <v>D3</v>
      </c>
      <c r="Z21" s="447"/>
      <c r="AA21" s="26" t="str">
        <f>IF(COUNT(AB21:AD21)&lt;1,"",IF(SUM(IF(AB21&gt;AB20,1,0),IF(AC21&gt;AC20,1,0),IF(AD21&gt;AD20,1,0))&gt;2,"??",SUM(IF(AB21&gt;AB20,1,0),IF(AC21&gt;AC20,1,0),IF(AD21&gt;AD20,1,0))))</f>
        <v/>
      </c>
      <c r="AB21" s="141"/>
      <c r="AC21" s="142"/>
      <c r="AD21" s="143"/>
      <c r="AE21" s="443"/>
      <c r="AG21" s="109">
        <f>$J$22</f>
        <v>12</v>
      </c>
      <c r="AH21" s="161"/>
      <c r="AI21" s="109">
        <f>$H$43</f>
        <v>28</v>
      </c>
      <c r="AJ21" s="161"/>
      <c r="AK21" s="159">
        <f>$O$88</f>
        <v>41</v>
      </c>
      <c r="AL21" s="160"/>
      <c r="AN21" s="323" t="s">
        <v>234</v>
      </c>
      <c r="AO21" s="324" t="str">
        <f>IF(R9="","",R9)</f>
        <v>C3</v>
      </c>
      <c r="AP21" s="324" t="str">
        <f>V9</f>
        <v/>
      </c>
      <c r="AQ21" s="336" t="str">
        <f>IF(AP21="","",(IF(T19="",0,T19)+IF(T21="",0,T21)+IF(T26="",0,T26))-(IF(T18="",0,T18)+IF(T20="",0,T20)+IF(T27="",0,T27)))</f>
        <v/>
      </c>
      <c r="AR21" s="324" t="str">
        <f>IF(AP21="","",(IF(T19="",0,SUM(U19:W19))+IF(T21="",0,SUM(U21:W21))+IF(T26="",0,SUM(U26:W26)))-(IF(T18="",0,SUM(U18:W18))+IF(T20="",0,SUM(U20:W20))+IF(T27="",0,SUM(U27:W27))))</f>
        <v/>
      </c>
      <c r="AS21" s="290"/>
      <c r="AT21" s="291"/>
      <c r="AU21" s="291"/>
      <c r="AV21" s="290"/>
      <c r="AW21" s="291"/>
      <c r="AX21" s="291"/>
      <c r="AY21" s="290"/>
    </row>
    <row r="22" spans="2:51" ht="15" customHeight="1">
      <c r="B22" s="126"/>
      <c r="C22" s="438">
        <v>10</v>
      </c>
      <c r="D22" s="440" t="str">
        <f>IF(OR(D7="",D8=""),"",D7)</f>
        <v>Manuel Pinto (AE Sertã)</v>
      </c>
      <c r="E22" s="440"/>
      <c r="F22" s="27" t="str">
        <f>IF(COUNT(G22:I22)&lt;1,"",IF(SUM(IF(G22&gt;G23,1,0),IF(H22&gt;H23,1,0),IF(I22&gt;I23,1,0))&gt;2,"??",SUM(IF(G22&gt;G23,1,0),IF(H22&gt;H23,1,0),IF(I22&gt;I23,1,0))))</f>
        <v/>
      </c>
      <c r="G22" s="144"/>
      <c r="H22" s="145"/>
      <c r="I22" s="146"/>
      <c r="J22" s="438">
        <v>12</v>
      </c>
      <c r="K22" s="440" t="str">
        <f>IF(OR(K7="",K8=""),"",K7)</f>
        <v>B1</v>
      </c>
      <c r="L22" s="440"/>
      <c r="M22" s="27" t="str">
        <f>IF(COUNT(N22:P22)&lt;1,"",IF(SUM(IF(N22&gt;N23,1,0),IF(O22&gt;O23,1,0),IF(P22&gt;P23,1,0))&gt;2,"??",SUM(IF(N22&gt;N23,1,0),IF(O22&gt;O23,1,0),IF(P22&gt;P23,1,0))))</f>
        <v/>
      </c>
      <c r="N22" s="144"/>
      <c r="O22" s="145"/>
      <c r="P22" s="146"/>
      <c r="Q22" s="438">
        <v>14</v>
      </c>
      <c r="R22" s="440" t="str">
        <f>IF(OR(R7="",R8=""),"",R7)</f>
        <v>C1</v>
      </c>
      <c r="S22" s="440"/>
      <c r="T22" s="27" t="str">
        <f>IF(COUNT(U22:W22)&lt;1,"",IF(SUM(IF(U22&gt;U23,1,0),IF(V22&gt;V23,1,0),IF(W22&gt;W23,1,0))&gt;2,"??",SUM(IF(U22&gt;U23,1,0),IF(V22&gt;V23,1,0),IF(W22&gt;W23,1,0))))</f>
        <v/>
      </c>
      <c r="U22" s="144"/>
      <c r="V22" s="145"/>
      <c r="W22" s="146"/>
      <c r="X22" s="438">
        <v>16</v>
      </c>
      <c r="Y22" s="440" t="str">
        <f>IF(OR(Y7="",Y8=""),"",Y7)</f>
        <v>D1</v>
      </c>
      <c r="Z22" s="440"/>
      <c r="AA22" s="27" t="str">
        <f>IF(COUNT(AB22:AD22)&lt;1,"",IF(SUM(IF(AB22&gt;AB23,1,0),IF(AC22&gt;AC23,1,0),IF(AD22&gt;AD23,1,0))&gt;2,"??",SUM(IF(AB22&gt;AB23,1,0),IF(AC22&gt;AC23,1,0),IF(AD22&gt;AD23,1,0))))</f>
        <v/>
      </c>
      <c r="AB22" s="144"/>
      <c r="AC22" s="145"/>
      <c r="AD22" s="146"/>
      <c r="AE22" s="443"/>
      <c r="AG22" s="109">
        <f>$Q$20</f>
        <v>13</v>
      </c>
      <c r="AH22" s="161"/>
      <c r="AI22" s="109">
        <f>$O$33</f>
        <v>29</v>
      </c>
      <c r="AJ22" s="161"/>
      <c r="AK22" s="109">
        <f>$O$96</f>
        <v>42</v>
      </c>
      <c r="AL22" s="161"/>
      <c r="AN22" s="337" t="s">
        <v>235</v>
      </c>
      <c r="AO22" s="326" t="str">
        <f>IF(R10="","",R10)</f>
        <v>C4</v>
      </c>
      <c r="AP22" s="326" t="str">
        <f>V10</f>
        <v/>
      </c>
      <c r="AQ22" s="338" t="str">
        <f>IF(AP22="","",(IF(T17="",0,T17)+IF(T20="",0,T20)+IF(T25="",0,T25))-(IF(T16="",0,T16)+IF(T21="",0,T21)+IF(T24="",0,T24)))</f>
        <v/>
      </c>
      <c r="AR22" s="326" t="str">
        <f>IF(AP22="","",(IF(T17="",0,SUM(U17:W17))+IF(T20="",0,SUM(U20:W20))+IF(T25="",0,SUM(U25:W25)))-(IF(T16="",0,SUM(U16:W16))+IF(T21="",0,SUM(U21:W21))+IF(T24="",0,SUM(U24:W24))))</f>
        <v/>
      </c>
      <c r="AS22" s="290"/>
      <c r="AT22" s="291"/>
      <c r="AU22" s="291"/>
      <c r="AV22" s="290"/>
      <c r="AW22" s="291"/>
      <c r="AX22" s="291"/>
      <c r="AY22" s="290"/>
    </row>
    <row r="23" spans="2:51" ht="15" customHeight="1" thickBot="1">
      <c r="B23" s="126"/>
      <c r="C23" s="439"/>
      <c r="D23" s="441" t="str">
        <f>IF(OR(D7="",D8=""),"",D8)</f>
        <v>A2</v>
      </c>
      <c r="E23" s="441"/>
      <c r="F23" s="28" t="str">
        <f>IF(COUNT(G23:I23)&lt;1,"",IF(SUM(IF(G23&gt;G22,1,0),IF(H23&gt;H22,1,0),IF(I23&gt;I22,1,0))&gt;2,"??",SUM(IF(G23&gt;G22,1,0),IF(H23&gt;H22,1,0),IF(I23&gt;I22,1,0))))</f>
        <v/>
      </c>
      <c r="G23" s="153"/>
      <c r="H23" s="154"/>
      <c r="I23" s="155"/>
      <c r="J23" s="439"/>
      <c r="K23" s="441" t="str">
        <f>IF(OR(K7="",K8=""),"",K8)</f>
        <v>B2</v>
      </c>
      <c r="L23" s="441"/>
      <c r="M23" s="28" t="str">
        <f>IF(COUNT(N23:P23)&lt;1,"",IF(SUM(IF(N23&gt;N22,1,0),IF(O23&gt;O22,1,0),IF(P23&gt;P22,1,0))&gt;2,"??",SUM(IF(N23&gt;N22,1,0),IF(O23&gt;O22,1,0),IF(P23&gt;P22,1,0))))</f>
        <v/>
      </c>
      <c r="N23" s="153"/>
      <c r="O23" s="154"/>
      <c r="P23" s="155"/>
      <c r="Q23" s="439"/>
      <c r="R23" s="441" t="str">
        <f>IF(OR(R7="",R8=""),"",R8)</f>
        <v>C2</v>
      </c>
      <c r="S23" s="441"/>
      <c r="T23" s="28" t="str">
        <f>IF(COUNT(U23:W23)&lt;1,"",IF(SUM(IF(U23&gt;U22,1,0),IF(V23&gt;V22,1,0),IF(W23&gt;W22,1,0))&gt;2,"??",SUM(IF(U23&gt;U22,1,0),IF(V23&gt;V22,1,0),IF(W23&gt;W22,1,0))))</f>
        <v/>
      </c>
      <c r="U23" s="153"/>
      <c r="V23" s="154"/>
      <c r="W23" s="155"/>
      <c r="X23" s="439"/>
      <c r="Y23" s="441" t="str">
        <f>IF(OR(Y7="",Y8=""),"",Y8)</f>
        <v>D2</v>
      </c>
      <c r="Z23" s="441"/>
      <c r="AA23" s="28" t="str">
        <f>IF(COUNT(AB23:AD23)&lt;1,"",IF(SUM(IF(AB23&gt;AB22,1,0),IF(AC23&gt;AC22,1,0),IF(AD23&gt;AD22,1,0))&gt;2,"??",SUM(IF(AB23&gt;AB22,1,0),IF(AC23&gt;AC22,1,0),IF(AD23&gt;AD22,1,0))))</f>
        <v/>
      </c>
      <c r="AB23" s="153"/>
      <c r="AC23" s="154"/>
      <c r="AD23" s="155"/>
      <c r="AE23" s="444"/>
      <c r="AG23" s="109">
        <f>$Q$22</f>
        <v>14</v>
      </c>
      <c r="AH23" s="161"/>
      <c r="AI23" s="109">
        <f>$O$41</f>
        <v>30</v>
      </c>
      <c r="AJ23" s="161"/>
      <c r="AK23" s="109">
        <f>$V$92</f>
        <v>43</v>
      </c>
      <c r="AL23" s="161"/>
      <c r="AN23" s="339" t="s">
        <v>236</v>
      </c>
      <c r="AO23" s="328" t="str">
        <f>IF(Y7="","",Y7)</f>
        <v>D1</v>
      </c>
      <c r="AP23" s="329" t="str">
        <f>AC7</f>
        <v/>
      </c>
      <c r="AQ23" s="329" t="str">
        <f>IF(AP23="","",(IF(AA16="",0,AA16)+IF(AA22="",0,AA22)+IF(AA27="",0,AA27))-(IF(AA17="",0,AA17)+IF(AA23="",0,AA23)+IF(AA26="",0,AA26)))</f>
        <v/>
      </c>
      <c r="AR23" s="329" t="str">
        <f>IF(AP23="","",(IF(AA16="",0,SUM(AB16:AD16))+IF(AA22="",0,SUM(AB22:AD22))+IF(AA27="",0,SUM(AB27:AD27)))-(IF(AA17="",0,SUM(AB17:AD17))+IF(AA23="",0,SUM(AB23:AD23))+IF(AA26="",0,SUM(AB26:AD26))))</f>
        <v/>
      </c>
      <c r="AS23" s="290"/>
      <c r="AT23" s="291"/>
      <c r="AU23" s="291"/>
      <c r="AV23" s="290"/>
      <c r="AW23" s="291"/>
      <c r="AX23" s="291"/>
      <c r="AY23" s="290"/>
    </row>
    <row r="24" spans="2:51" ht="15" customHeight="1" thickTop="1" thickBot="1">
      <c r="B24" s="126"/>
      <c r="C24" s="431">
        <v>17</v>
      </c>
      <c r="D24" s="433" t="str">
        <f>IF(OR(D8="",D10=""),"",D8)</f>
        <v>A2</v>
      </c>
      <c r="E24" s="433"/>
      <c r="F24" s="22" t="str">
        <f>IF(COUNT(G24:I24)&lt;1,"",IF(SUM(IF(G24&gt;G25,1,0),IF(H24&gt;H25,1,0),IF(I24&gt;I25,1,0))&gt;2,"??",SUM(IF(G24&gt;G25,1,0),IF(H24&gt;H25,1,0),IF(I24&gt;I25,1,0))))</f>
        <v/>
      </c>
      <c r="G24" s="141"/>
      <c r="H24" s="142"/>
      <c r="I24" s="143"/>
      <c r="J24" s="431">
        <v>19</v>
      </c>
      <c r="K24" s="433" t="str">
        <f>IF(OR(K8="",K10=""),"",K8)</f>
        <v>B2</v>
      </c>
      <c r="L24" s="433"/>
      <c r="M24" s="22" t="str">
        <f>IF(COUNT(N24:P24)&lt;1,"",IF(SUM(IF(N24&gt;N25,1,0),IF(O24&gt;O25,1,0),IF(P24&gt;P25,1,0))&gt;2,"??",SUM(IF(N24&gt;N25,1,0),IF(O24&gt;O25,1,0),IF(P24&gt;P25,1,0))))</f>
        <v/>
      </c>
      <c r="N24" s="141"/>
      <c r="O24" s="142"/>
      <c r="P24" s="143"/>
      <c r="Q24" s="431">
        <v>21</v>
      </c>
      <c r="R24" s="433" t="str">
        <f>IF(OR(R8="",R10=""),"",R8)</f>
        <v>C2</v>
      </c>
      <c r="S24" s="433"/>
      <c r="T24" s="22" t="str">
        <f>IF(COUNT(U24:W24)&lt;1,"",IF(SUM(IF(U24&gt;U25,1,0),IF(V24&gt;V25,1,0),IF(W24&gt;W25,1,0))&gt;2,"??",SUM(IF(U24&gt;U25,1,0),IF(V24&gt;V25,1,0),IF(W24&gt;W25,1,0))))</f>
        <v/>
      </c>
      <c r="U24" s="141"/>
      <c r="V24" s="142"/>
      <c r="W24" s="143"/>
      <c r="X24" s="431">
        <v>23</v>
      </c>
      <c r="Y24" s="433" t="str">
        <f>IF(OR(Y8="",Y10=""),"",Y8)</f>
        <v>D2</v>
      </c>
      <c r="Z24" s="433"/>
      <c r="AA24" s="22" t="str">
        <f>IF(COUNT(AB24:AD24)&lt;1,"",IF(SUM(IF(AB24&gt;AB25,1,0),IF(AC24&gt;AC25,1,0),IF(AD24&gt;AD25,1,0))&gt;2,"??",SUM(IF(AB24&gt;AB25,1,0),IF(AC24&gt;AC25,1,0),IF(AD24&gt;AD25,1,0))))</f>
        <v/>
      </c>
      <c r="AB24" s="141"/>
      <c r="AC24" s="142"/>
      <c r="AD24" s="143"/>
      <c r="AE24" s="434" t="s">
        <v>45</v>
      </c>
      <c r="AG24" s="109">
        <f>$X$20</f>
        <v>15</v>
      </c>
      <c r="AH24" s="161"/>
      <c r="AI24" s="109">
        <f>$V$37</f>
        <v>31</v>
      </c>
      <c r="AJ24" s="161"/>
      <c r="AK24" s="130">
        <f>$W$92</f>
        <v>44</v>
      </c>
      <c r="AL24" s="163"/>
      <c r="AN24" s="330" t="s">
        <v>237</v>
      </c>
      <c r="AO24" s="328" t="str">
        <f>IF(Y8="","",Y8)</f>
        <v>D2</v>
      </c>
      <c r="AP24" s="331" t="str">
        <f>AC8</f>
        <v/>
      </c>
      <c r="AQ24" s="331" t="str">
        <f>IF(AP24="","",(IF(AA18="",0,AA18)+IF(AA23="",0,AA23)+IF(AA24="",0,AA24))-(IF(AA19="",0,AA19)+IF(AA22="",0,AA22)+IF(AA25="",0,AA25)))</f>
        <v/>
      </c>
      <c r="AR24" s="331" t="str">
        <f>IF(AP24="","",(IF(AA18="",0,SUM(AB18:AD18))+IF(AA23="",0,SUM(AB23:AD23))+IF(AA24="",0,SUM(AB24:AD24)))-(IF(AA19="",0,SUM(AB19:AD19))+IF(AA22="",0,SUM(AB22:AD22))+IF(AA25="",0,SUM(AB25:AD25))))</f>
        <v/>
      </c>
      <c r="AS24" s="290"/>
      <c r="AT24" s="291"/>
      <c r="AU24" s="291"/>
      <c r="AV24" s="290"/>
      <c r="AW24" s="291"/>
      <c r="AX24" s="291"/>
      <c r="AY24" s="290"/>
    </row>
    <row r="25" spans="2:51" ht="15" customHeight="1" thickBot="1">
      <c r="B25" s="126"/>
      <c r="C25" s="432"/>
      <c r="D25" s="437" t="str">
        <f>IF(OR(D8="",D10=""),"",D10)</f>
        <v>A4</v>
      </c>
      <c r="E25" s="437"/>
      <c r="F25" s="22" t="str">
        <f>IF(COUNT(G25:I25)&lt;1,"",IF(SUM(IF(G25&gt;G24,1,0),IF(H25&gt;H24,1,0),IF(I25&gt;I24,1,0))&gt;2,"??",SUM(IF(G25&gt;G24,1,0),IF(H25&gt;H24,1,0),IF(I25&gt;I24,1,0))))</f>
        <v/>
      </c>
      <c r="G25" s="141"/>
      <c r="H25" s="142"/>
      <c r="I25" s="143"/>
      <c r="J25" s="432"/>
      <c r="K25" s="437" t="str">
        <f>IF(OR(K8="",K10=""),"",K10)</f>
        <v>B4</v>
      </c>
      <c r="L25" s="437"/>
      <c r="M25" s="22" t="str">
        <f>IF(COUNT(N25:P25)&lt;1,"",IF(SUM(IF(N25&gt;N24,1,0),IF(O25&gt;O24,1,0),IF(P25&gt;P24,1,0))&gt;2,"??",SUM(IF(N25&gt;N24,1,0),IF(O25&gt;O24,1,0),IF(P25&gt;P24,1,0))))</f>
        <v/>
      </c>
      <c r="N25" s="141"/>
      <c r="O25" s="142"/>
      <c r="P25" s="143"/>
      <c r="Q25" s="432"/>
      <c r="R25" s="437" t="str">
        <f>IF(OR(R8="",R10=""),"",R10)</f>
        <v>C4</v>
      </c>
      <c r="S25" s="437"/>
      <c r="T25" s="22" t="str">
        <f>IF(COUNT(U25:W25)&lt;1,"",IF(SUM(IF(U25&gt;U24,1,0),IF(V25&gt;V24,1,0),IF(W25&gt;W24,1,0))&gt;2,"??",SUM(IF(U25&gt;U24,1,0),IF(V25&gt;V24,1,0),IF(W25&gt;W24,1,0))))</f>
        <v/>
      </c>
      <c r="U25" s="141"/>
      <c r="V25" s="142"/>
      <c r="W25" s="143"/>
      <c r="X25" s="432"/>
      <c r="Y25" s="437" t="str">
        <f>IF(OR(Y8="",Y10=""),"",Y10)</f>
        <v>D4</v>
      </c>
      <c r="Z25" s="437"/>
      <c r="AA25" s="22" t="str">
        <f>IF(COUNT(AB25:AD25)&lt;1,"",IF(SUM(IF(AB25&gt;AB24,1,0),IF(AC25&gt;AC24,1,0),IF(AD25&gt;AD24,1,0))&gt;2,"??",SUM(IF(AB25&gt;AB24,1,0),IF(AC25&gt;AC24,1,0),IF(AD25&gt;AD24,1,0))))</f>
        <v/>
      </c>
      <c r="AB25" s="141"/>
      <c r="AC25" s="142"/>
      <c r="AD25" s="143"/>
      <c r="AE25" s="435"/>
      <c r="AG25" s="130">
        <f>$X$22</f>
        <v>16</v>
      </c>
      <c r="AH25" s="163"/>
      <c r="AI25" s="130">
        <f>$W$37</f>
        <v>32</v>
      </c>
      <c r="AJ25" s="163"/>
      <c r="AK25" s="159"/>
      <c r="AL25" s="240"/>
      <c r="AN25" s="330" t="s">
        <v>239</v>
      </c>
      <c r="AO25" s="328" t="str">
        <f>IF(Y9="","",Y9)</f>
        <v>D3</v>
      </c>
      <c r="AP25" s="331" t="str">
        <f>AC9</f>
        <v/>
      </c>
      <c r="AQ25" s="331" t="str">
        <f>IF(AP25="","",(IF(AA19="",0,AA19)+IF(AA21="",0,AA21)+IF(AA26="",0,AA26))-(IF(AA18="",0,AA18)+IF(AA20="",0,AA20)+IF(AA27="",0,AA27)))</f>
        <v/>
      </c>
      <c r="AR25" s="331" t="str">
        <f>IF(AP25="","",(IF(AA19="",0,SUM(AB19:AD19))+IF(AA21="",0,SUM(AB21:AD21))+IF(AA26="",0,SUM(AB26:AD26)))-(IF(AA18="",0,SUM(AB18:AD18))+IF(AA20="",0,SUM(AB20:AD20))+IF(AA27="",0,SUM(AB27:AD27))))</f>
        <v/>
      </c>
      <c r="AS25" s="290"/>
      <c r="AT25" s="291"/>
      <c r="AU25" s="291"/>
      <c r="AV25" s="290"/>
      <c r="AW25" s="291"/>
      <c r="AX25" s="291"/>
      <c r="AY25" s="290"/>
    </row>
    <row r="26" spans="2:51" ht="15" customHeight="1" thickBot="1">
      <c r="B26" s="126"/>
      <c r="C26" s="428">
        <v>18</v>
      </c>
      <c r="D26" s="430" t="str">
        <f>IF(OR(D7="",D9=""),"",D9)</f>
        <v>A3</v>
      </c>
      <c r="E26" s="430"/>
      <c r="F26" s="23" t="str">
        <f>IF(COUNT(G26:I26)&lt;1,"",IF(SUM(IF(G26&gt;G27,1,0),IF(H26&gt;H27,1,0),IF(I26&gt;I27,1,0))&gt;2,"??",SUM(IF(G26&gt;G27,1,0),IF(H26&gt;H27,1,0),IF(I26&gt;I27,1,0))))</f>
        <v/>
      </c>
      <c r="G26" s="144"/>
      <c r="H26" s="145"/>
      <c r="I26" s="146"/>
      <c r="J26" s="428">
        <v>20</v>
      </c>
      <c r="K26" s="430" t="str">
        <f>IF(OR(K7="",K9=""),"",K9)</f>
        <v>B3</v>
      </c>
      <c r="L26" s="430"/>
      <c r="M26" s="23" t="str">
        <f>IF(COUNT(N26:P26)&lt;1,"",IF(SUM(IF(N26&gt;N27,1,0),IF(O26&gt;O27,1,0),IF(P26&gt;P27,1,0))&gt;2,"??",SUM(IF(N26&gt;N27,1,0),IF(O26&gt;O27,1,0),IF(P26&gt;P27,1,0))))</f>
        <v/>
      </c>
      <c r="N26" s="144"/>
      <c r="O26" s="145"/>
      <c r="P26" s="146"/>
      <c r="Q26" s="428">
        <v>22</v>
      </c>
      <c r="R26" s="430" t="str">
        <f>IF(OR(R7="",R9=""),"",R9)</f>
        <v>C3</v>
      </c>
      <c r="S26" s="430"/>
      <c r="T26" s="23" t="str">
        <f>IF(COUNT(U26:W26)&lt;1,"",IF(SUM(IF(U26&gt;U27,1,0),IF(V26&gt;V27,1,0),IF(W26&gt;W27,1,0))&gt;2,"??",SUM(IF(U26&gt;U27,1,0),IF(V26&gt;V27,1,0),IF(W26&gt;W27,1,0))))</f>
        <v/>
      </c>
      <c r="U26" s="144"/>
      <c r="V26" s="145"/>
      <c r="W26" s="146"/>
      <c r="X26" s="428">
        <v>24</v>
      </c>
      <c r="Y26" s="430" t="str">
        <f>IF(OR(Y7="",Y9=""),"",Y9)</f>
        <v>D3</v>
      </c>
      <c r="Z26" s="430"/>
      <c r="AA26" s="23" t="str">
        <f>IF(COUNT(AB26:AD26)&lt;1,"",IF(SUM(IF(AB26&gt;AB27,1,0),IF(AC26&gt;AC27,1,0),IF(AD26&gt;AD27,1,0))&gt;2,"??",SUM(IF(AB26&gt;AB27,1,0),IF(AC26&gt;AC27,1,0),IF(AD26&gt;AD27,1,0))))</f>
        <v/>
      </c>
      <c r="AB26" s="144"/>
      <c r="AC26" s="145"/>
      <c r="AD26" s="146"/>
      <c r="AE26" s="435"/>
      <c r="AG26" s="417" t="s">
        <v>247</v>
      </c>
      <c r="AH26" s="417"/>
      <c r="AI26" s="417" t="s">
        <v>248</v>
      </c>
      <c r="AJ26" s="417"/>
      <c r="AN26" s="340" t="s">
        <v>238</v>
      </c>
      <c r="AO26" s="341" t="str">
        <f>IF(Y10="","",Y10)</f>
        <v>D4</v>
      </c>
      <c r="AP26" s="341" t="str">
        <f>AC10</f>
        <v/>
      </c>
      <c r="AQ26" s="341" t="str">
        <f>IF(AP26="","",(IF(AA17="",0,AA17)+IF(AA20="",0,AA20)+IF(AA25="",0,AA25))-(IF(AA16="",0,AA16)+IF(AA21="",0,AA21)+IF(AA24="",0,AA24)))</f>
        <v/>
      </c>
      <c r="AR26" s="341" t="str">
        <f>IF(AP26="","",(IF(AA17="",0,SUM(AB17:AD17))+IF(AA20="",0,SUM(AB20:AD20))+IF(AA25="",0,SUM(AB25:AD25)))-(IF(AA16="",0,SUM(AB16:AD16))+IF(AA21="",0,SUM(AB21:AD21))+IF(AA24="",0,SUM(AB24:AD24))))</f>
        <v/>
      </c>
      <c r="AS26" s="290"/>
      <c r="AT26" s="291"/>
      <c r="AU26" s="291"/>
      <c r="AV26" s="290"/>
      <c r="AW26" s="291"/>
      <c r="AX26" s="291"/>
      <c r="AY26" s="290"/>
    </row>
    <row r="27" spans="2:51" ht="15" customHeight="1" thickBot="1">
      <c r="B27" s="126"/>
      <c r="C27" s="429"/>
      <c r="D27" s="418" t="str">
        <f>IF(OR(D7="",D9=""),"",D7)</f>
        <v>Manuel Pinto (AE Sertã)</v>
      </c>
      <c r="E27" s="418"/>
      <c r="F27" s="29" t="str">
        <f>IF(COUNT(G27:I27)&lt;1,"",IF(SUM(IF(G27&gt;G26,1,0),IF(H27&gt;H26,1,0),IF(I27&gt;I26,1,0))&gt;2,"??",SUM(IF(G27&gt;G26,1,0),IF(H27&gt;H26,1,0),IF(I27&gt;I26,1,0))))</f>
        <v/>
      </c>
      <c r="G27" s="156"/>
      <c r="H27" s="157"/>
      <c r="I27" s="158"/>
      <c r="J27" s="429"/>
      <c r="K27" s="418" t="str">
        <f>IF(OR(K7="",K9=""),"",K7)</f>
        <v>B1</v>
      </c>
      <c r="L27" s="418"/>
      <c r="M27" s="29" t="str">
        <f>IF(COUNT(N27:P27)&lt;1,"",IF(SUM(IF(N27&gt;N26,1,0),IF(O27&gt;O26,1,0),IF(P27&gt;P26,1,0))&gt;2,"??",SUM(IF(N27&gt;N26,1,0),IF(O27&gt;O26,1,0),IF(P27&gt;P26,1,0))))</f>
        <v/>
      </c>
      <c r="N27" s="156"/>
      <c r="O27" s="157"/>
      <c r="P27" s="158"/>
      <c r="Q27" s="429"/>
      <c r="R27" s="418" t="str">
        <f>IF(OR(R7="",R9=""),"",R7)</f>
        <v>C1</v>
      </c>
      <c r="S27" s="418"/>
      <c r="T27" s="29" t="str">
        <f>IF(COUNT(U27:W27)&lt;1,"",IF(SUM(IF(U27&gt;U26,1,0),IF(V27&gt;V26,1,0),IF(W27&gt;W26,1,0))&gt;2,"??",SUM(IF(U27&gt;U26,1,0),IF(V27&gt;V26,1,0),IF(W27&gt;W26,1,0))))</f>
        <v/>
      </c>
      <c r="U27" s="156"/>
      <c r="V27" s="157"/>
      <c r="W27" s="158"/>
      <c r="X27" s="429"/>
      <c r="Y27" s="418" t="str">
        <f>IF(OR(Y7="",Y9=""),"",Y7)</f>
        <v>D1</v>
      </c>
      <c r="Z27" s="418"/>
      <c r="AA27" s="29" t="str">
        <f>IF(COUNT(AB27:AD27)&lt;1,"",IF(SUM(IF(AB27&gt;AB26,1,0),IF(AC27&gt;AC26,1,0),IF(AD27&gt;AD26,1,0))&gt;2,"??",SUM(IF(AB27&gt;AB26,1,0),IF(AC27&gt;AC26,1,0),IF(AD27&gt;AD26,1,0))))</f>
        <v/>
      </c>
      <c r="AB27" s="156"/>
      <c r="AC27" s="157"/>
      <c r="AD27" s="158"/>
      <c r="AE27" s="436"/>
      <c r="AG27" s="419">
        <v>1</v>
      </c>
      <c r="AH27" s="420"/>
      <c r="AI27" s="423">
        <v>4</v>
      </c>
      <c r="AJ27" s="424"/>
      <c r="AN27" s="292"/>
      <c r="AO27" s="293"/>
      <c r="AP27" s="342"/>
      <c r="AQ27" s="342"/>
      <c r="AR27" s="342"/>
      <c r="AS27" s="290"/>
      <c r="AT27" s="291"/>
      <c r="AU27" s="291"/>
      <c r="AV27" s="290"/>
      <c r="AW27" s="291"/>
      <c r="AX27" s="291"/>
      <c r="AY27" s="290"/>
    </row>
    <row r="28" spans="2:51" ht="15.75" customHeight="1" thickBot="1">
      <c r="B28" s="126"/>
      <c r="C28" s="427"/>
      <c r="D28" s="427"/>
      <c r="E28" s="427"/>
      <c r="F28" s="427"/>
      <c r="G28" s="427"/>
      <c r="H28" s="427"/>
      <c r="I28" s="427"/>
      <c r="J28" s="427"/>
      <c r="K28" s="427"/>
      <c r="L28" s="427"/>
      <c r="M28" s="427"/>
      <c r="N28" s="427"/>
      <c r="O28" s="427"/>
      <c r="P28" s="427"/>
      <c r="Q28" s="30"/>
      <c r="R28" s="31"/>
      <c r="S28" s="32"/>
      <c r="T28" s="33"/>
      <c r="U28" s="32"/>
      <c r="V28" s="32"/>
      <c r="W28" s="32"/>
      <c r="X28" s="30"/>
      <c r="Y28" s="31"/>
      <c r="Z28" s="32"/>
      <c r="AA28" s="33"/>
      <c r="AB28" s="32"/>
      <c r="AC28" s="32"/>
      <c r="AD28" s="32"/>
      <c r="AE28" s="113"/>
      <c r="AG28" s="421"/>
      <c r="AH28" s="422"/>
      <c r="AI28" s="425"/>
      <c r="AJ28" s="426"/>
      <c r="AN28" s="292"/>
      <c r="AO28" s="343" t="s">
        <v>425</v>
      </c>
      <c r="AP28" s="344" t="str">
        <f>IF(COUNT(AP11:AP26)=0,"",IF(SUM(AP11:AP26)=SUM(H7:H10,O7:O10,V7:V10,AC7:AC10),"OK","??"))</f>
        <v>OK</v>
      </c>
      <c r="AQ28" s="344" t="str">
        <f>IF(COUNT(AQ11:AQ26)=0,"",IF(SUM(IF(AQ11="",0,AQ11),IF(AQ12="",0,AQ12),IF(AQ13="",0,AQ13),IF(AQ14="",0,AQ14),IF(AQ15="",0,AQ15),IF(AQ16="",0,AQ16),IF(AQ17="",0,AQ17),IF(AQ18="",0,AQ18),IF(AQ19="",0,AQ19),IF(AQ20="",0,AQ20),IF(AQ21="",0,AQ21),IF(AQ22="",0,AQ22),IF(AQ23="",0,AQ23),IF(AQ24="",0,AQ24),IF(AQ25="",0,AQ25),IF(AQ26="",0,AQ26))=0,"OK","??"))</f>
        <v>OK</v>
      </c>
      <c r="AR28" s="344" t="str">
        <f>IF(COUNT(AR11:AR26)=0,"",IF(SUM(IF(AR11="",0,AR11),IF(AR12="",0,AR12),IF(AR13="",0,AR13),IF(AR14="",0,AR14),IF(AR15="",0,AR15),IF(AR16="",0,AR16),IF(AR17="",0,AR17),IF(AR18="",0,AR18),IF(AR19="",0,AR19),IF(AR20="",0,AR20),IF(AR21="",0,AR21),IF(AR22="",0,AR22),IF(AR23="",0,AR23),IF(AR24="",0,AR24),IF(AR25="",0,AR25),IF(AR26="",0,AR26))=0,"OK","??"))</f>
        <v>OK</v>
      </c>
      <c r="AS28" s="290"/>
      <c r="AT28" s="291"/>
      <c r="AU28" s="291"/>
      <c r="AV28" s="290"/>
      <c r="AW28" s="291"/>
      <c r="AX28" s="291"/>
      <c r="AY28" s="290"/>
    </row>
    <row r="29" spans="2:51" ht="15" customHeight="1">
      <c r="B29" s="125"/>
      <c r="C29" s="167"/>
      <c r="D29" s="61"/>
      <c r="E29" s="61"/>
      <c r="F29" s="167"/>
      <c r="G29" s="167"/>
      <c r="H29" s="167"/>
      <c r="I29" s="61"/>
      <c r="J29" s="167"/>
      <c r="K29" s="183"/>
      <c r="L29" s="61"/>
      <c r="M29" s="61"/>
      <c r="N29" s="61"/>
      <c r="O29" s="61"/>
      <c r="P29" s="61"/>
      <c r="Q29" s="167"/>
      <c r="R29" s="61"/>
      <c r="S29" s="61"/>
      <c r="T29" s="61"/>
      <c r="U29" s="61"/>
      <c r="V29" s="61"/>
      <c r="W29" s="61"/>
      <c r="X29" s="167"/>
      <c r="Y29" s="389" t="s">
        <v>0</v>
      </c>
      <c r="Z29" s="390"/>
      <c r="AA29" s="390"/>
      <c r="AB29" s="390"/>
      <c r="AC29" s="390"/>
      <c r="AD29" s="391"/>
      <c r="AE29" s="3"/>
      <c r="AG29" s="409" t="s">
        <v>46</v>
      </c>
      <c r="AH29" s="409"/>
      <c r="AI29" s="409"/>
      <c r="AJ29" s="409"/>
      <c r="AN29" s="292"/>
      <c r="AO29" s="293"/>
      <c r="AP29" s="398"/>
      <c r="AQ29" s="398"/>
      <c r="AR29" s="398"/>
      <c r="AS29" s="290"/>
      <c r="AT29" s="291"/>
      <c r="AU29" s="291"/>
      <c r="AV29" s="290"/>
      <c r="AW29" s="291"/>
      <c r="AX29" s="291"/>
      <c r="AY29" s="290"/>
    </row>
    <row r="30" spans="2:51" ht="15.75" customHeight="1" thickBot="1">
      <c r="B30" s="126"/>
      <c r="C30" s="369" t="str">
        <f>IF(D12="","1º do grupo A",D12)</f>
        <v>Manuel Pinto (AE Sertã)</v>
      </c>
      <c r="D30" s="370"/>
      <c r="E30" s="69"/>
      <c r="F30" s="69"/>
      <c r="G30" s="70"/>
      <c r="H30" s="35" t="str">
        <f>IF(COUNT(E30:G30)&lt;1,"",IF(SUM(IF(E30&gt;E32,1,0),IF(F30&gt;F32,1,0),IF(G30&gt;G32,1,0))&gt;2,"??",SUM(IF(E30&gt;E32,1,0),IF(F30&gt;F32,1,0),IF(G30&gt;G32,1,0))))</f>
        <v/>
      </c>
      <c r="I30" s="36"/>
      <c r="J30" s="40"/>
      <c r="K30" s="55"/>
      <c r="L30" s="55"/>
      <c r="M30" s="55"/>
      <c r="N30" s="55"/>
      <c r="O30" s="55"/>
      <c r="P30" s="55"/>
      <c r="Q30" s="40"/>
      <c r="R30" s="55"/>
      <c r="S30" s="55"/>
      <c r="T30" s="55"/>
      <c r="U30" s="55"/>
      <c r="V30" s="55"/>
      <c r="W30" s="54"/>
      <c r="X30" s="68"/>
      <c r="Y30" s="392"/>
      <c r="Z30" s="393"/>
      <c r="AA30" s="393"/>
      <c r="AB30" s="393"/>
      <c r="AC30" s="393"/>
      <c r="AD30" s="394"/>
      <c r="AE30" s="113"/>
      <c r="AG30" s="410"/>
      <c r="AH30" s="410"/>
      <c r="AI30" s="410"/>
      <c r="AJ30" s="410"/>
      <c r="AN30" s="292"/>
      <c r="AO30" s="293"/>
      <c r="AP30" s="398"/>
      <c r="AQ30" s="398"/>
      <c r="AR30" s="398"/>
      <c r="AS30" s="290"/>
      <c r="AT30" s="291"/>
      <c r="AU30" s="291"/>
      <c r="AV30" s="290"/>
      <c r="AW30" s="291"/>
      <c r="AX30" s="291"/>
      <c r="AY30" s="290"/>
    </row>
    <row r="31" spans="2:51" ht="15.75" customHeight="1">
      <c r="B31" s="126"/>
      <c r="C31" s="68"/>
      <c r="D31" s="37"/>
      <c r="E31" s="41"/>
      <c r="F31" s="41"/>
      <c r="G31" s="62"/>
      <c r="H31" s="64">
        <v>25</v>
      </c>
      <c r="I31" s="411" t="str">
        <f>IF(OR(H30="",H32="")=TRUE,"1ª Meia Final-Jogador1",IF(H30&gt;H32,C30,C32))</f>
        <v>1ª Meia Final-Jogador1</v>
      </c>
      <c r="J31" s="412"/>
      <c r="K31" s="413"/>
      <c r="L31" s="69"/>
      <c r="M31" s="69"/>
      <c r="N31" s="70"/>
      <c r="O31" s="38" t="str">
        <f>IF(COUNT(L31:N31)&lt;1,"",IF(SUM(IF(L31&gt;L35,1,0),IF(M31&gt;M35,1,0),IF(N31&gt;N35,1,0))&gt;2,"??",SUM(IF(L31&gt;L35,1,0),IF(M31&gt;M35,1,0),IF(N31&gt;N35,1,0))))</f>
        <v/>
      </c>
      <c r="P31" s="55"/>
      <c r="Q31" s="40"/>
      <c r="R31" s="55"/>
      <c r="S31" s="55"/>
      <c r="T31" s="55"/>
      <c r="U31" s="55"/>
      <c r="V31" s="55"/>
      <c r="W31" s="54"/>
      <c r="X31" s="68"/>
      <c r="Y31" s="414" t="str">
        <f>IF(X37="1º Classificado","",X37)</f>
        <v/>
      </c>
      <c r="Z31" s="415"/>
      <c r="AA31" s="415"/>
      <c r="AB31" s="415"/>
      <c r="AC31" s="415"/>
      <c r="AD31" s="39" t="s">
        <v>1</v>
      </c>
      <c r="AE31" s="113"/>
      <c r="AG31" s="410"/>
      <c r="AH31" s="410"/>
      <c r="AI31" s="410"/>
      <c r="AJ31" s="410"/>
      <c r="AN31" s="288"/>
      <c r="AO31" s="289"/>
      <c r="AP31" s="416"/>
      <c r="AQ31" s="416"/>
      <c r="AR31" s="416"/>
      <c r="AS31" s="290"/>
      <c r="AT31" s="291"/>
      <c r="AU31" s="291"/>
      <c r="AV31" s="290"/>
      <c r="AW31" s="291"/>
      <c r="AX31" s="291"/>
      <c r="AY31" s="290"/>
    </row>
    <row r="32" spans="2:51" ht="15.75" customHeight="1">
      <c r="B32" s="126"/>
      <c r="C32" s="369" t="str">
        <f>IF(K13="","2º do grupo B",K13)</f>
        <v>2º do grupo B</v>
      </c>
      <c r="D32" s="370"/>
      <c r="E32" s="69"/>
      <c r="F32" s="69"/>
      <c r="G32" s="70"/>
      <c r="H32" s="35" t="str">
        <f>IF(COUNT(E32:G32)&lt;1,"",IF(SUM(IF(E30&lt;E32,1,0),IF(F30&lt;F32,1,0),IF(G30&lt;G32,1,0))&gt;2,"??",SUM(IF(E30&lt;E32,1,0),IF(F30&lt;F32,1,0),IF(G30&lt;G32,1,0))))</f>
        <v/>
      </c>
      <c r="I32" s="36"/>
      <c r="J32" s="40"/>
      <c r="K32" s="59"/>
      <c r="L32" s="55"/>
      <c r="M32" s="41"/>
      <c r="N32" s="41"/>
      <c r="O32" s="42"/>
      <c r="P32" s="36"/>
      <c r="Q32" s="40"/>
      <c r="R32" s="55"/>
      <c r="S32" s="55"/>
      <c r="T32" s="55"/>
      <c r="U32" s="55"/>
      <c r="V32" s="60"/>
      <c r="W32" s="53"/>
      <c r="X32" s="48"/>
      <c r="Y32" s="405" t="str">
        <f>IF(Y31="","",IF(Y31=P33,P41,P33))</f>
        <v/>
      </c>
      <c r="Z32" s="406" t="e">
        <f>IF(#REF!="","",IF(#REF!=W32,"","(2º) "))</f>
        <v>#REF!</v>
      </c>
      <c r="AA32" s="406" t="e">
        <f>IF(#REF!="","",IF(#REF!=X32,"","(2º) "))</f>
        <v>#REF!</v>
      </c>
      <c r="AB32" s="406" t="e">
        <f>IF(#REF!="","",IF(#REF!=Y32,"","(2º) "))</f>
        <v>#REF!</v>
      </c>
      <c r="AC32" s="406" t="e">
        <f>IF(#REF!="","",IF(#REF!=Z32,"","(2º) "))</f>
        <v>#REF!</v>
      </c>
      <c r="AD32" s="43" t="s">
        <v>2</v>
      </c>
      <c r="AE32" s="113"/>
      <c r="AN32" s="292"/>
      <c r="AO32" s="293"/>
      <c r="AP32" s="398"/>
      <c r="AQ32" s="398"/>
      <c r="AR32" s="398"/>
      <c r="AS32" s="290"/>
      <c r="AT32" s="291"/>
      <c r="AU32" s="291"/>
      <c r="AV32" s="290"/>
      <c r="AW32" s="291"/>
      <c r="AX32" s="291"/>
      <c r="AY32" s="290"/>
    </row>
    <row r="33" spans="2:51" ht="15.75" customHeight="1">
      <c r="B33" s="126"/>
      <c r="C33" s="68"/>
      <c r="D33" s="37"/>
      <c r="E33" s="55"/>
      <c r="F33" s="42"/>
      <c r="G33" s="44"/>
      <c r="H33" s="44"/>
      <c r="I33" s="55"/>
      <c r="J33" s="40"/>
      <c r="K33" s="59"/>
      <c r="L33" s="55"/>
      <c r="M33" s="42"/>
      <c r="N33" s="42"/>
      <c r="O33" s="64">
        <v>29</v>
      </c>
      <c r="P33" s="374" t="str">
        <f>IF(OR(O31="",O35="")=TRUE,"Final-Jogador1",IF(O31&gt;O35,I31,I35))</f>
        <v>Final-Jogador1</v>
      </c>
      <c r="Q33" s="369"/>
      <c r="R33" s="369"/>
      <c r="S33" s="370"/>
      <c r="T33" s="69"/>
      <c r="U33" s="69"/>
      <c r="V33" s="69"/>
      <c r="W33" s="45" t="str">
        <f>IF(COUNT(T33:V33)&lt;1,"",IF(SUM(IF(T33&gt;T41,1,0),IF(U33&gt;U41,1,0),IF(V33&gt;V41,1,0))&gt;2,"??",SUM(IF(T33&gt;T41,1,0),IF(U33&gt;U41,1,0),IF(V33&gt;V41,1,0))))</f>
        <v/>
      </c>
      <c r="X33" s="48"/>
      <c r="Y33" s="407" t="str">
        <f>IF(P37="3º Classificado","",P37)</f>
        <v/>
      </c>
      <c r="Z33" s="408"/>
      <c r="AA33" s="408"/>
      <c r="AB33" s="408"/>
      <c r="AC33" s="408"/>
      <c r="AD33" s="166" t="s">
        <v>3</v>
      </c>
      <c r="AE33" s="113"/>
      <c r="AN33" s="292"/>
      <c r="AO33" s="293"/>
      <c r="AP33" s="398"/>
      <c r="AQ33" s="398"/>
      <c r="AR33" s="398"/>
      <c r="AS33" s="290"/>
      <c r="AT33" s="291"/>
      <c r="AU33" s="291"/>
      <c r="AV33" s="290"/>
      <c r="AW33" s="291"/>
      <c r="AX33" s="291"/>
      <c r="AY33" s="290"/>
    </row>
    <row r="34" spans="2:51" ht="15.75" customHeight="1" thickBot="1">
      <c r="B34" s="126"/>
      <c r="C34" s="369" t="str">
        <f>IF(Y13="","2º do grupo D",Y13)</f>
        <v>2º do grupo D</v>
      </c>
      <c r="D34" s="370"/>
      <c r="E34" s="69"/>
      <c r="F34" s="69"/>
      <c r="G34" s="70"/>
      <c r="H34" s="35" t="str">
        <f>IF(COUNT(E34:G34)&lt;1,"",IF(SUM(IF(E34&gt;E36,1,0),IF(F34&gt;F36,1,0),IF(G34&gt;G36,1,0))&gt;2,"??",SUM(IF(E34&gt;E36,1,0),IF(F34&gt;F36,1,0),IF(G34&gt;G36,1,0))))</f>
        <v/>
      </c>
      <c r="I34" s="36"/>
      <c r="J34" s="40"/>
      <c r="K34" s="59"/>
      <c r="L34" s="55"/>
      <c r="M34" s="42"/>
      <c r="N34" s="42"/>
      <c r="O34" s="42"/>
      <c r="P34" s="36"/>
      <c r="Q34" s="40"/>
      <c r="R34" s="55"/>
      <c r="S34" s="46"/>
      <c r="T34" s="42"/>
      <c r="U34" s="42"/>
      <c r="V34" s="67"/>
      <c r="W34" s="47"/>
      <c r="X34" s="48"/>
      <c r="Y34" s="403" t="str">
        <f>IF(Y33="","",IF(Y33=P35,P39,P35))</f>
        <v/>
      </c>
      <c r="Z34" s="404" t="e">
        <f>IF(#REF!="","",IF(#REF!=W34,"","(2º) "))</f>
        <v>#REF!</v>
      </c>
      <c r="AA34" s="404" t="e">
        <f>IF(#REF!="","",IF(#REF!=X34,"","(2º) "))</f>
        <v>#REF!</v>
      </c>
      <c r="AB34" s="404" t="e">
        <f>IF(#REF!="","",IF(#REF!=Y34,"","(2º) "))</f>
        <v>#REF!</v>
      </c>
      <c r="AC34" s="404" t="e">
        <f>IF(#REF!="","",IF(#REF!=Z34,"","(2º) "))</f>
        <v>#REF!</v>
      </c>
      <c r="AD34" s="165" t="s">
        <v>4</v>
      </c>
      <c r="AE34" s="113"/>
      <c r="AN34" s="292"/>
      <c r="AO34" s="293"/>
      <c r="AP34" s="398"/>
      <c r="AQ34" s="398"/>
      <c r="AR34" s="398"/>
      <c r="AS34" s="290"/>
      <c r="AT34" s="291"/>
      <c r="AU34" s="291"/>
      <c r="AV34" s="290"/>
      <c r="AW34" s="291"/>
      <c r="AX34" s="291"/>
      <c r="AY34" s="290"/>
    </row>
    <row r="35" spans="2:51" ht="15.75" customHeight="1">
      <c r="B35" s="126"/>
      <c r="C35" s="68"/>
      <c r="D35" s="37"/>
      <c r="E35" s="55"/>
      <c r="F35" s="42"/>
      <c r="G35" s="44"/>
      <c r="H35" s="63">
        <v>26</v>
      </c>
      <c r="I35" s="374" t="str">
        <f>IF(OR(H34="",H36="")=TRUE,"1ª Meia Final-Jogador2",IF(H34&gt;H36,C34,C36))</f>
        <v>1ª Meia Final-Jogador2</v>
      </c>
      <c r="J35" s="369"/>
      <c r="K35" s="370"/>
      <c r="L35" s="69"/>
      <c r="M35" s="69"/>
      <c r="N35" s="70"/>
      <c r="O35" s="38" t="str">
        <f>IF(COUNT(L35:N35)&lt;1,"",IF(SUM(IF(L31&lt;L35,1,0),IF(M31&lt;M35,1,0),IF(N31&lt;N35,1,0))&gt;2,"??",SUM(IF(L31&lt;L35,1,0),IF(M31&lt;M35,1,0),IF(N31&lt;N35,1,0))))</f>
        <v/>
      </c>
      <c r="P35" s="371" t="str">
        <f>IF(P33="Final-Jogador1","Disputa 3º/4º  Jogador1",IF(P33=I31,I35,I31))</f>
        <v>Disputa 3º/4º  Jogador1</v>
      </c>
      <c r="Q35" s="372"/>
      <c r="R35" s="373"/>
      <c r="S35" s="69"/>
      <c r="T35" s="69"/>
      <c r="U35" s="69"/>
      <c r="V35" s="49" t="str">
        <f>IF(COUNT(S35:U35)&lt;1,"",IF(SUM(IF(S35&gt;S39,1,0),IF(T35&gt;T39,1,0),IF(U35&gt;U39,1,0))&gt;2,"??",SUM(IF(S35&gt;S39,1,0),IF(T35&gt;T39,1,0),IF(U35&gt;U39,1,0))))</f>
        <v/>
      </c>
      <c r="W35" s="50"/>
      <c r="X35" s="48"/>
      <c r="Y35" s="53"/>
      <c r="Z35" s="53"/>
      <c r="AA35" s="53"/>
      <c r="AB35" s="53"/>
      <c r="AC35" s="53"/>
      <c r="AD35" s="54"/>
      <c r="AE35" s="113"/>
      <c r="AN35" s="292"/>
      <c r="AO35" s="293"/>
      <c r="AP35" s="398"/>
      <c r="AQ35" s="398"/>
      <c r="AR35" s="398"/>
      <c r="AS35" s="290"/>
      <c r="AT35" s="291"/>
      <c r="AU35" s="291"/>
      <c r="AV35" s="290"/>
      <c r="AW35" s="291"/>
      <c r="AX35" s="291"/>
      <c r="AY35" s="290"/>
    </row>
    <row r="36" spans="2:51" ht="15.75" customHeight="1">
      <c r="B36" s="126"/>
      <c r="C36" s="369" t="str">
        <f>IF(R12="","1º do grupo C",R12)</f>
        <v>1º do grupo C</v>
      </c>
      <c r="D36" s="370"/>
      <c r="E36" s="69"/>
      <c r="F36" s="69"/>
      <c r="G36" s="70"/>
      <c r="H36" s="35" t="str">
        <f>IF(COUNT(E36:G36)&lt;1,"",IF(SUM(IF(E34&lt;E36,1,0),IF(F34&lt;F36,1,0),IF(G34&lt;G36,1,0))&gt;2,"??",SUM(IF(E34&lt;E36,1,0),IF(F34&lt;F36,1,0),IF(G34&lt;G36,1,0))))</f>
        <v/>
      </c>
      <c r="I36" s="36"/>
      <c r="J36" s="40"/>
      <c r="K36" s="59"/>
      <c r="L36" s="46"/>
      <c r="M36" s="42"/>
      <c r="N36" s="42"/>
      <c r="O36" s="42"/>
      <c r="P36" s="55"/>
      <c r="Q36" s="51"/>
      <c r="R36" s="46"/>
      <c r="S36" s="46"/>
      <c r="T36" s="41"/>
      <c r="U36" s="41"/>
      <c r="V36" s="52"/>
      <c r="W36" s="50"/>
      <c r="X36" s="48"/>
      <c r="Y36" s="53"/>
      <c r="Z36" s="53"/>
      <c r="AA36" s="53"/>
      <c r="AB36" s="53"/>
      <c r="AC36" s="53"/>
      <c r="AD36" s="54"/>
      <c r="AE36" s="113"/>
      <c r="AN36" s="292"/>
      <c r="AO36" s="293"/>
      <c r="AP36" s="398"/>
      <c r="AQ36" s="398"/>
      <c r="AR36" s="398"/>
      <c r="AS36" s="290"/>
      <c r="AT36" s="291"/>
      <c r="AU36" s="291"/>
      <c r="AV36" s="290"/>
      <c r="AW36" s="291"/>
      <c r="AX36" s="291"/>
      <c r="AY36" s="290"/>
    </row>
    <row r="37" spans="2:51" ht="27" customHeight="1">
      <c r="B37" s="126"/>
      <c r="C37" s="127" t="s">
        <v>60</v>
      </c>
      <c r="D37" s="71"/>
      <c r="E37" s="118"/>
      <c r="F37" s="118"/>
      <c r="G37" s="119"/>
      <c r="H37" s="120"/>
      <c r="I37" s="55"/>
      <c r="J37" s="40"/>
      <c r="K37" s="59"/>
      <c r="L37" s="55"/>
      <c r="M37" s="42"/>
      <c r="N37" s="42"/>
      <c r="O37" s="42"/>
      <c r="P37" s="380" t="str">
        <f>IF(OR(V35="",V39="")=TRUE,"3º Classificado",IF(V35&gt;V39,P35,P39))</f>
        <v>3º Classificado</v>
      </c>
      <c r="Q37" s="380"/>
      <c r="R37" s="380"/>
      <c r="S37" s="380"/>
      <c r="T37" s="380"/>
      <c r="U37" s="380"/>
      <c r="V37" s="65">
        <v>31</v>
      </c>
      <c r="W37" s="66">
        <v>32</v>
      </c>
      <c r="X37" s="381" t="str">
        <f>IF(OR(W33="",W41="")=TRUE,"1º Classificado",IF(W33&gt;W41,P33,P41))</f>
        <v>1º Classificado</v>
      </c>
      <c r="Y37" s="382"/>
      <c r="Z37" s="382"/>
      <c r="AA37" s="382"/>
      <c r="AB37" s="382"/>
      <c r="AC37" s="382"/>
      <c r="AD37" s="54"/>
      <c r="AE37" s="113"/>
      <c r="AN37" s="292"/>
      <c r="AO37" s="293"/>
      <c r="AP37" s="398"/>
      <c r="AQ37" s="398"/>
      <c r="AR37" s="398"/>
      <c r="AS37" s="290"/>
      <c r="AT37" s="291"/>
      <c r="AU37" s="291"/>
      <c r="AV37" s="290"/>
      <c r="AW37" s="291"/>
      <c r="AX37" s="291"/>
      <c r="AY37" s="290"/>
    </row>
    <row r="38" spans="2:51" ht="15.75" customHeight="1">
      <c r="B38" s="126"/>
      <c r="C38" s="369" t="str">
        <f>IF(K12="","1º do grupo B",K12)</f>
        <v>1º do grupo B</v>
      </c>
      <c r="D38" s="370"/>
      <c r="E38" s="69"/>
      <c r="F38" s="69"/>
      <c r="G38" s="70"/>
      <c r="H38" s="35" t="str">
        <f>IF(COUNT(E38:G38)&lt;1,"",IF(SUM(IF(E38&gt;E40,1,0),IF(F38&gt;F40,1,0),IF(G38&gt;G40,1,0))&gt;2,"??",SUM(IF(E38&gt;E40,1,0),IF(F38&gt;F40,1,0),IF(G38&gt;G40,1,0))))</f>
        <v/>
      </c>
      <c r="I38" s="36"/>
      <c r="J38" s="40"/>
      <c r="K38" s="59"/>
      <c r="L38" s="55"/>
      <c r="M38" s="42"/>
      <c r="N38" s="42"/>
      <c r="O38" s="42"/>
      <c r="P38" s="55"/>
      <c r="Q38" s="40"/>
      <c r="R38" s="55"/>
      <c r="S38" s="55"/>
      <c r="T38" s="42"/>
      <c r="U38" s="42"/>
      <c r="V38" s="56"/>
      <c r="W38" s="50"/>
      <c r="X38" s="48"/>
      <c r="Y38" s="402" t="s">
        <v>5</v>
      </c>
      <c r="Z38" s="402"/>
      <c r="AA38" s="402"/>
      <c r="AB38" s="402"/>
      <c r="AC38" s="402"/>
      <c r="AD38" s="54"/>
      <c r="AE38" s="113"/>
      <c r="AN38" s="292"/>
      <c r="AO38" s="293"/>
      <c r="AP38" s="398"/>
      <c r="AQ38" s="398"/>
      <c r="AR38" s="398"/>
      <c r="AS38" s="290"/>
      <c r="AT38" s="291"/>
      <c r="AU38" s="291"/>
      <c r="AV38" s="290"/>
      <c r="AW38" s="291"/>
      <c r="AX38" s="291"/>
      <c r="AY38" s="290"/>
    </row>
    <row r="39" spans="2:51" ht="15.75" customHeight="1">
      <c r="B39" s="126"/>
      <c r="C39" s="68"/>
      <c r="D39" s="37"/>
      <c r="E39" s="55"/>
      <c r="F39" s="41"/>
      <c r="G39" s="44"/>
      <c r="H39" s="63">
        <v>27</v>
      </c>
      <c r="I39" s="374" t="str">
        <f>IF(OR(H38="",H40="")=TRUE,"2ª Meia Final-Jogador1",IF(H38&gt;H40,C38,C40))</f>
        <v>2ª Meia Final-Jogador1</v>
      </c>
      <c r="J39" s="369"/>
      <c r="K39" s="370"/>
      <c r="L39" s="69"/>
      <c r="M39" s="69"/>
      <c r="N39" s="70"/>
      <c r="O39" s="38" t="str">
        <f>IF(COUNT(L39:N39)&lt;1,"",IF(SUM(IF(L39&gt;L43,1,0),IF(M39&gt;M43,1,0),IF(N39&gt;N43,1,0))&gt;2,"??",SUM(IF(L39&gt;L43,1,0),IF(M39&gt;M43,1,0),IF(N39&gt;N43,1,0))))</f>
        <v/>
      </c>
      <c r="P39" s="371" t="str">
        <f>IF(P41="Final-Jogador2","Disputa 3º/4º  Jogador2",IF(P41=I39,I43,I39))</f>
        <v>Disputa 3º/4º  Jogador2</v>
      </c>
      <c r="Q39" s="372"/>
      <c r="R39" s="373"/>
      <c r="S39" s="69"/>
      <c r="T39" s="69"/>
      <c r="U39" s="69"/>
      <c r="V39" s="49" t="str">
        <f>IF(COUNT(S39:U39)&lt;1,"",IF(SUM(IF(S35&lt;S39,1,0),IF(T35&lt;T39,1,0),IF(U35&lt;U39,1,0))&gt;2,"??",SUM(IF(S35&lt;S39,1,0),IF(T35&lt;T39,1,0),IF(U35&lt;U39,1,0))))</f>
        <v/>
      </c>
      <c r="W39" s="50"/>
      <c r="X39" s="48"/>
      <c r="Y39" s="53"/>
      <c r="Z39" s="53"/>
      <c r="AA39" s="53"/>
      <c r="AB39" s="57"/>
      <c r="AC39" s="57"/>
      <c r="AD39" s="58"/>
      <c r="AE39" s="113"/>
      <c r="AN39" s="292"/>
      <c r="AO39" s="293"/>
      <c r="AP39" s="398"/>
      <c r="AQ39" s="398"/>
      <c r="AR39" s="398"/>
      <c r="AS39" s="290"/>
      <c r="AT39" s="291"/>
      <c r="AU39" s="291"/>
      <c r="AV39" s="290"/>
      <c r="AW39" s="291"/>
      <c r="AX39" s="291"/>
      <c r="AY39" s="290"/>
    </row>
    <row r="40" spans="2:51" ht="15.75" customHeight="1">
      <c r="B40" s="126"/>
      <c r="C40" s="369" t="str">
        <f>IF(D13="","2º do grupo A",D13)</f>
        <v>A4</v>
      </c>
      <c r="D40" s="370"/>
      <c r="E40" s="69"/>
      <c r="F40" s="69"/>
      <c r="G40" s="70"/>
      <c r="H40" s="35" t="str">
        <f>IF(COUNT(E40:G40)&lt;1,"",IF(SUM(IF(E38&lt;E40,1,0),IF(F38&lt;F40,1,0),IF(G38&lt;G40,1,0))&gt;2,"??",SUM(IF(E38&lt;E40,1,0),IF(F38&lt;F40,1,0),IF(G38&lt;G40,1,0))))</f>
        <v/>
      </c>
      <c r="I40" s="36"/>
      <c r="J40" s="40"/>
      <c r="K40" s="59"/>
      <c r="L40" s="55"/>
      <c r="M40" s="41"/>
      <c r="N40" s="41"/>
      <c r="O40" s="42"/>
      <c r="P40" s="36"/>
      <c r="Q40" s="51"/>
      <c r="R40" s="46"/>
      <c r="S40" s="55"/>
      <c r="T40" s="42"/>
      <c r="U40" s="42"/>
      <c r="V40" s="67"/>
      <c r="W40" s="50"/>
      <c r="X40" s="48"/>
      <c r="Y40" s="53"/>
      <c r="Z40" s="53"/>
      <c r="AA40" s="53"/>
      <c r="AB40" s="53"/>
      <c r="AC40" s="53"/>
      <c r="AD40" s="54"/>
      <c r="AE40" s="113"/>
      <c r="AN40" s="292"/>
      <c r="AO40" s="293"/>
      <c r="AP40" s="398"/>
      <c r="AQ40" s="398"/>
      <c r="AR40" s="398"/>
      <c r="AS40" s="290"/>
      <c r="AT40" s="291"/>
      <c r="AU40" s="291"/>
      <c r="AV40" s="290"/>
      <c r="AW40" s="291"/>
      <c r="AX40" s="291"/>
      <c r="AY40" s="290"/>
    </row>
    <row r="41" spans="2:51" ht="15.75" customHeight="1">
      <c r="B41" s="126"/>
      <c r="C41" s="68"/>
      <c r="D41" s="37"/>
      <c r="E41" s="55"/>
      <c r="F41" s="42"/>
      <c r="G41" s="44"/>
      <c r="H41" s="121"/>
      <c r="I41" s="55"/>
      <c r="J41" s="40"/>
      <c r="K41" s="59"/>
      <c r="L41" s="55"/>
      <c r="M41" s="42"/>
      <c r="N41" s="42"/>
      <c r="O41" s="64">
        <v>30</v>
      </c>
      <c r="P41" s="374" t="str">
        <f>IF(OR(O39="",O43="")=TRUE,"Final-Jogador2",IF(O39&gt;O43,I39,I43))</f>
        <v>Final-Jogador2</v>
      </c>
      <c r="Q41" s="369"/>
      <c r="R41" s="369"/>
      <c r="S41" s="370"/>
      <c r="T41" s="69"/>
      <c r="U41" s="69"/>
      <c r="V41" s="69"/>
      <c r="W41" s="45" t="str">
        <f>IF(COUNT(T41:V41)&lt;1,"",IF(SUM(IF(T33&lt;T41,1,0),IF(U33&lt;U41,1,0),IF(V33&lt;V41,1,0))&gt;2,"??",SUM(IF(T33&lt;T41,1,0),IF(U33&lt;U41,1,0),IF(V33&lt;V41,1,0))))</f>
        <v/>
      </c>
      <c r="X41" s="48"/>
      <c r="Y41" s="53"/>
      <c r="Z41" s="53"/>
      <c r="AA41" s="53"/>
      <c r="AB41" s="53"/>
      <c r="AC41" s="53"/>
      <c r="AD41" s="54"/>
      <c r="AE41" s="113"/>
      <c r="AN41" s="292"/>
      <c r="AO41" s="293"/>
      <c r="AP41" s="398"/>
      <c r="AQ41" s="398"/>
      <c r="AR41" s="398"/>
      <c r="AS41" s="290"/>
      <c r="AT41" s="291"/>
      <c r="AU41" s="291"/>
      <c r="AV41" s="290"/>
      <c r="AW41" s="291"/>
      <c r="AX41" s="291"/>
      <c r="AY41" s="290"/>
    </row>
    <row r="42" spans="2:51" ht="15.75" customHeight="1">
      <c r="B42" s="126"/>
      <c r="C42" s="369" t="str">
        <f>IF(R13="","2º do grupo C",R13)</f>
        <v>2º do grupo C</v>
      </c>
      <c r="D42" s="370"/>
      <c r="E42" s="69"/>
      <c r="F42" s="69"/>
      <c r="G42" s="70"/>
      <c r="H42" s="35" t="str">
        <f>IF(COUNT(E42:G42)&lt;1,"",IF(SUM(IF(E42&gt;E44,1,0),IF(F42&gt;F44,1,0),IF(G42&gt;G44,1,0))&gt;2,"??",SUM(IF(E42&gt;E44,1,0),IF(F42&gt;F44,1,0),IF(G42&gt;G44,1,0))))</f>
        <v/>
      </c>
      <c r="I42" s="36"/>
      <c r="J42" s="40"/>
      <c r="K42" s="59"/>
      <c r="L42" s="55"/>
      <c r="M42" s="42"/>
      <c r="N42" s="42"/>
      <c r="O42" s="42"/>
      <c r="P42" s="36"/>
      <c r="Q42" s="40"/>
      <c r="R42" s="55"/>
      <c r="S42" s="46"/>
      <c r="T42" s="55"/>
      <c r="U42" s="55"/>
      <c r="V42" s="60"/>
      <c r="W42" s="53"/>
      <c r="X42" s="48"/>
      <c r="Y42" s="53"/>
      <c r="Z42" s="53"/>
      <c r="AA42" s="53"/>
      <c r="AB42" s="53"/>
      <c r="AC42" s="53"/>
      <c r="AD42" s="54"/>
      <c r="AE42" s="113"/>
      <c r="AN42" s="292"/>
      <c r="AO42" s="293"/>
      <c r="AP42" s="398"/>
      <c r="AQ42" s="398"/>
      <c r="AR42" s="398"/>
      <c r="AS42" s="290"/>
      <c r="AT42" s="291"/>
      <c r="AU42" s="291"/>
      <c r="AV42" s="290"/>
      <c r="AW42" s="291"/>
      <c r="AX42" s="291"/>
      <c r="AY42" s="290"/>
    </row>
    <row r="43" spans="2:51" ht="15.75" customHeight="1">
      <c r="B43" s="126"/>
      <c r="C43" s="68"/>
      <c r="D43" s="37"/>
      <c r="E43" s="55"/>
      <c r="F43" s="42"/>
      <c r="G43" s="44"/>
      <c r="H43" s="63">
        <v>28</v>
      </c>
      <c r="I43" s="374" t="str">
        <f>IF(OR(H42="",H44="")=TRUE,"2ª Meia Final-Jogador2",IF(H42&gt;H44,C42,C44))</f>
        <v>2ª Meia Final-Jogador2</v>
      </c>
      <c r="J43" s="369"/>
      <c r="K43" s="370"/>
      <c r="L43" s="69"/>
      <c r="M43" s="69"/>
      <c r="N43" s="70"/>
      <c r="O43" s="35" t="str">
        <f>IF(COUNT(L43:N43)&lt;1,"",IF(SUM(IF(L39&lt;L43,1,0),IF(M39&lt;M43,1,0),IF(N39&lt;N43,1,0))&gt;2,"??",SUM(IF(L39&lt;L43,1,0),IF(M39&lt;M43,1,0),IF(N39&lt;N43,1,0))))</f>
        <v/>
      </c>
      <c r="P43" s="36"/>
      <c r="Q43" s="40"/>
      <c r="R43" s="55"/>
      <c r="S43" s="55"/>
      <c r="T43" s="55"/>
      <c r="U43" s="55"/>
      <c r="V43" s="55"/>
      <c r="W43" s="54"/>
      <c r="X43" s="68"/>
      <c r="Y43" s="54"/>
      <c r="Z43" s="54"/>
      <c r="AA43" s="54"/>
      <c r="AB43" s="54"/>
      <c r="AC43" s="54"/>
      <c r="AD43" s="54"/>
      <c r="AE43" s="113"/>
      <c r="AN43" s="292"/>
      <c r="AO43" s="293"/>
      <c r="AP43" s="398"/>
      <c r="AQ43" s="398"/>
      <c r="AR43" s="398"/>
      <c r="AS43" s="290"/>
      <c r="AT43" s="291"/>
      <c r="AU43" s="291"/>
      <c r="AV43" s="290"/>
      <c r="AW43" s="291"/>
      <c r="AX43" s="291"/>
      <c r="AY43" s="290"/>
    </row>
    <row r="44" spans="2:51" ht="15.75" customHeight="1">
      <c r="B44" s="126"/>
      <c r="C44" s="369" t="str">
        <f>IF(Y12="","1º do grupo D",Y12)</f>
        <v>1º do grupo D</v>
      </c>
      <c r="D44" s="370"/>
      <c r="E44" s="69"/>
      <c r="F44" s="69"/>
      <c r="G44" s="70"/>
      <c r="H44" s="35" t="str">
        <f>IF(COUNT(E44:G44)&lt;1,"",IF(SUM(IF(E42&lt;E44,1,0),IF(F42&lt;F44,1,0),IF(G42&lt;G44,1,0))&gt;2,"??",SUM(IF(E42&lt;E44,1,0),IF(F42&lt;F44,1,0),IF(G42&lt;G44,1,0))))</f>
        <v/>
      </c>
      <c r="I44" s="36"/>
      <c r="J44" s="40"/>
      <c r="K44" s="55"/>
      <c r="L44" s="46"/>
      <c r="M44" s="55"/>
      <c r="N44" s="55"/>
      <c r="O44" s="55"/>
      <c r="P44" s="55"/>
      <c r="Q44" s="40"/>
      <c r="R44" s="55"/>
      <c r="S44" s="55"/>
      <c r="T44" s="55"/>
      <c r="U44" s="55"/>
      <c r="V44" s="55"/>
      <c r="W44" s="54"/>
      <c r="X44" s="68"/>
      <c r="Y44" s="54"/>
      <c r="Z44" s="54"/>
      <c r="AA44" s="54"/>
      <c r="AB44" s="54"/>
      <c r="AC44" s="54"/>
      <c r="AD44" s="54"/>
      <c r="AE44" s="113"/>
      <c r="AN44" s="292"/>
      <c r="AO44" s="293"/>
      <c r="AP44" s="398"/>
      <c r="AQ44" s="398"/>
      <c r="AR44" s="398"/>
      <c r="AS44" s="290"/>
      <c r="AT44" s="291"/>
      <c r="AU44" s="291"/>
      <c r="AV44" s="290"/>
      <c r="AW44" s="291"/>
      <c r="AX44" s="291"/>
      <c r="AY44" s="290"/>
    </row>
    <row r="45" spans="2:51" ht="11.25" customHeight="1">
      <c r="B45" s="128"/>
      <c r="C45" s="123"/>
      <c r="D45" s="129"/>
      <c r="E45" s="122"/>
      <c r="F45" s="122"/>
      <c r="G45" s="122"/>
      <c r="H45" s="122"/>
      <c r="I45" s="122"/>
      <c r="J45" s="123"/>
      <c r="K45" s="122"/>
      <c r="L45" s="122"/>
      <c r="M45" s="122"/>
      <c r="N45" s="122"/>
      <c r="O45" s="122"/>
      <c r="P45" s="122"/>
      <c r="Q45" s="123"/>
      <c r="R45" s="122"/>
      <c r="S45" s="122"/>
      <c r="T45" s="122"/>
      <c r="U45" s="122"/>
      <c r="V45" s="122"/>
      <c r="W45" s="122"/>
      <c r="X45" s="123"/>
      <c r="Y45" s="122"/>
      <c r="Z45" s="122"/>
      <c r="AA45" s="122"/>
      <c r="AB45" s="122"/>
      <c r="AC45" s="122"/>
      <c r="AD45" s="122"/>
      <c r="AE45" s="124"/>
      <c r="AN45" s="292"/>
      <c r="AO45" s="293"/>
      <c r="AP45" s="398"/>
      <c r="AQ45" s="398"/>
      <c r="AR45" s="398"/>
      <c r="AS45" s="290"/>
      <c r="AT45" s="291"/>
      <c r="AU45" s="291"/>
      <c r="AV45" s="290"/>
      <c r="AW45" s="291"/>
      <c r="AX45" s="291"/>
      <c r="AY45" s="290"/>
    </row>
    <row r="46" spans="2:51" ht="4.5" customHeight="1">
      <c r="AN46" s="292"/>
      <c r="AO46" s="293"/>
      <c r="AP46" s="398"/>
      <c r="AQ46" s="398"/>
      <c r="AR46" s="398"/>
      <c r="AS46" s="290"/>
      <c r="AT46" s="291"/>
      <c r="AU46" s="291"/>
      <c r="AV46" s="290"/>
      <c r="AW46" s="291"/>
      <c r="AX46" s="291"/>
      <c r="AY46" s="290"/>
    </row>
    <row r="47" spans="2:51" ht="13.5" thickBot="1">
      <c r="D47" s="54"/>
      <c r="H47" s="125"/>
      <c r="I47" s="61"/>
      <c r="J47" s="167"/>
      <c r="K47" s="61"/>
      <c r="L47" s="61"/>
      <c r="M47" s="61"/>
      <c r="N47" s="61"/>
      <c r="O47" s="61"/>
      <c r="P47" s="61"/>
      <c r="Q47" s="167"/>
      <c r="R47" s="61"/>
      <c r="S47" s="61"/>
      <c r="T47" s="61"/>
      <c r="U47" s="61"/>
      <c r="V47" s="61"/>
      <c r="W47" s="61"/>
      <c r="X47" s="167"/>
      <c r="Y47" s="61"/>
      <c r="Z47" s="61"/>
      <c r="AA47" s="61"/>
      <c r="AB47" s="61"/>
      <c r="AC47" s="61"/>
      <c r="AD47" s="61"/>
      <c r="AE47" s="3"/>
      <c r="AN47" s="292"/>
      <c r="AO47" s="293"/>
      <c r="AP47" s="398"/>
      <c r="AQ47" s="398"/>
      <c r="AR47" s="398"/>
      <c r="AS47" s="290"/>
      <c r="AT47" s="291"/>
      <c r="AU47" s="291"/>
      <c r="AV47" s="290"/>
      <c r="AW47" s="291"/>
      <c r="AX47" s="291"/>
      <c r="AY47" s="290"/>
    </row>
    <row r="48" spans="2:51">
      <c r="D48" s="54"/>
      <c r="H48" s="126"/>
      <c r="I48" s="388" t="s">
        <v>48</v>
      </c>
      <c r="J48" s="388"/>
      <c r="K48" s="388"/>
      <c r="L48" s="388"/>
      <c r="M48" s="388"/>
      <c r="N48" s="388"/>
      <c r="O48" s="388"/>
      <c r="P48" s="388"/>
      <c r="Q48" s="388"/>
      <c r="R48" s="388"/>
      <c r="S48" s="388"/>
      <c r="T48" s="388"/>
      <c r="U48" s="388"/>
      <c r="V48" s="388"/>
      <c r="W48" s="388"/>
      <c r="X48" s="68"/>
      <c r="Y48" s="389" t="s">
        <v>0</v>
      </c>
      <c r="Z48" s="390"/>
      <c r="AA48" s="390"/>
      <c r="AB48" s="390"/>
      <c r="AC48" s="390"/>
      <c r="AD48" s="391"/>
      <c r="AE48" s="113"/>
      <c r="AN48" s="292"/>
      <c r="AO48" s="293"/>
      <c r="AP48" s="398"/>
      <c r="AQ48" s="398"/>
      <c r="AR48" s="398"/>
      <c r="AS48" s="290"/>
      <c r="AT48" s="291"/>
      <c r="AU48" s="291"/>
      <c r="AV48" s="290"/>
      <c r="AW48" s="291"/>
      <c r="AX48" s="291"/>
      <c r="AY48" s="290"/>
    </row>
    <row r="49" spans="2:53" ht="13.5" thickBot="1">
      <c r="B49" s="401"/>
      <c r="C49" s="401"/>
      <c r="D49" s="401"/>
      <c r="E49" s="182"/>
      <c r="H49" s="126"/>
      <c r="I49" s="388"/>
      <c r="J49" s="388"/>
      <c r="K49" s="388"/>
      <c r="L49" s="388"/>
      <c r="M49" s="388"/>
      <c r="N49" s="388"/>
      <c r="O49" s="388"/>
      <c r="P49" s="388"/>
      <c r="Q49" s="388"/>
      <c r="R49" s="388"/>
      <c r="S49" s="388"/>
      <c r="T49" s="388"/>
      <c r="U49" s="388"/>
      <c r="V49" s="388"/>
      <c r="W49" s="388"/>
      <c r="X49" s="68"/>
      <c r="Y49" s="392"/>
      <c r="Z49" s="393"/>
      <c r="AA49" s="393"/>
      <c r="AB49" s="393"/>
      <c r="AC49" s="393"/>
      <c r="AD49" s="394"/>
      <c r="AE49" s="113"/>
      <c r="AN49" s="292"/>
      <c r="AO49" s="293"/>
      <c r="AP49" s="398"/>
      <c r="AQ49" s="398"/>
      <c r="AR49" s="398"/>
      <c r="AS49" s="290"/>
      <c r="AT49" s="291"/>
      <c r="AU49" s="291"/>
      <c r="AV49" s="290"/>
      <c r="AW49" s="291"/>
      <c r="AX49" s="291"/>
      <c r="AY49" s="290"/>
    </row>
    <row r="50" spans="2:53" ht="15.75">
      <c r="H50" s="126"/>
      <c r="I50" s="369" t="str">
        <f>IF(I31="1ª Meia Final-Jogador1",CONCATENATE("Vencido do jogo ",H31),IF(I31=C30,C32,C30))</f>
        <v>Vencido do jogo 25</v>
      </c>
      <c r="J50" s="369"/>
      <c r="K50" s="370"/>
      <c r="L50" s="69"/>
      <c r="M50" s="69"/>
      <c r="N50" s="70"/>
      <c r="O50" s="38" t="str">
        <f>IF(COUNT(L50:N50)&lt;1,"",IF(SUM(IF(L50&gt;L54,1,0),IF(M50&gt;M54,1,0),IF(N50&gt;N54,1,0))&gt;2,"??",SUM(IF(L50&gt;L54,1,0),IF(M50&gt;M54,1,0),IF(N50&gt;N54,1,0))))</f>
        <v/>
      </c>
      <c r="P50" s="55"/>
      <c r="Q50" s="40"/>
      <c r="R50" s="55"/>
      <c r="S50" s="55"/>
      <c r="T50" s="55"/>
      <c r="U50" s="55"/>
      <c r="V50" s="55"/>
      <c r="W50" s="54"/>
      <c r="X50" s="68"/>
      <c r="Y50" s="395" t="str">
        <f>IF(X56="5º Classificado","",X56)</f>
        <v/>
      </c>
      <c r="Z50" s="396"/>
      <c r="AA50" s="396"/>
      <c r="AB50" s="396"/>
      <c r="AC50" s="396"/>
      <c r="AD50" s="39" t="s">
        <v>36</v>
      </c>
      <c r="AE50" s="113"/>
      <c r="AN50" s="292"/>
      <c r="AO50" s="293"/>
      <c r="AP50" s="398"/>
      <c r="AQ50" s="398"/>
      <c r="AR50" s="398"/>
      <c r="AS50" s="290"/>
      <c r="AT50" s="291"/>
      <c r="AU50" s="291"/>
      <c r="AV50" s="290"/>
      <c r="AW50" s="291"/>
      <c r="AX50" s="291"/>
      <c r="AY50" s="290"/>
    </row>
    <row r="51" spans="2:53" ht="15" customHeight="1">
      <c r="H51" s="126"/>
      <c r="I51" s="55"/>
      <c r="J51" s="40"/>
      <c r="K51" s="59"/>
      <c r="L51" s="55"/>
      <c r="M51" s="41"/>
      <c r="N51" s="41"/>
      <c r="O51" s="42"/>
      <c r="P51" s="36"/>
      <c r="Q51" s="40"/>
      <c r="R51" s="55"/>
      <c r="S51" s="55"/>
      <c r="T51" s="55"/>
      <c r="U51" s="55"/>
      <c r="V51" s="60"/>
      <c r="W51" s="53"/>
      <c r="X51" s="48"/>
      <c r="Y51" s="384" t="str">
        <f>IF(Y50="","",IF(Y50=P52,P60,P52))</f>
        <v/>
      </c>
      <c r="Z51" s="385" t="e">
        <f>IF(#REF!="","",IF(#REF!=W51,"","(2º) "))</f>
        <v>#REF!</v>
      </c>
      <c r="AA51" s="385" t="e">
        <f>IF(#REF!="","",IF(#REF!=X51,"","(2º) "))</f>
        <v>#REF!</v>
      </c>
      <c r="AB51" s="385" t="e">
        <f>IF(#REF!="","",IF(#REF!=Y51,"","(2º) "))</f>
        <v>#REF!</v>
      </c>
      <c r="AC51" s="385" t="e">
        <f>IF(#REF!="","",IF(#REF!=Z51,"","(2º) "))</f>
        <v>#REF!</v>
      </c>
      <c r="AD51" s="43" t="s">
        <v>37</v>
      </c>
      <c r="AE51" s="113"/>
      <c r="AN51" s="292"/>
      <c r="AO51" s="293"/>
      <c r="AP51" s="398"/>
      <c r="AQ51" s="398"/>
      <c r="AR51" s="398"/>
      <c r="AS51" s="290"/>
      <c r="AT51" s="291"/>
      <c r="AU51" s="291"/>
      <c r="AV51" s="290"/>
      <c r="AW51" s="291"/>
      <c r="AX51" s="291"/>
      <c r="AY51" s="290"/>
    </row>
    <row r="52" spans="2:53" ht="15" customHeight="1">
      <c r="H52" s="126"/>
      <c r="I52" s="55"/>
      <c r="J52" s="40"/>
      <c r="K52" s="59"/>
      <c r="L52" s="55"/>
      <c r="M52" s="42"/>
      <c r="N52" s="42"/>
      <c r="O52" s="64">
        <v>33</v>
      </c>
      <c r="P52" s="374" t="str">
        <f>IF(OR(O50="",O54="")=TRUE,"Disputa 5º/6º Jogador1",IF(O50&gt;O54,I50,I54))</f>
        <v>Disputa 5º/6º Jogador1</v>
      </c>
      <c r="Q52" s="369"/>
      <c r="R52" s="369"/>
      <c r="S52" s="370"/>
      <c r="T52" s="69"/>
      <c r="U52" s="69"/>
      <c r="V52" s="69"/>
      <c r="W52" s="45" t="str">
        <f>IF(COUNT(T52:V52)&lt;1,"",IF(SUM(IF(T52&gt;T60,1,0),IF(U52&gt;U60,1,0),IF(V52&gt;V60,1,0))&gt;2,"??",SUM(IF(T52&gt;T60,1,0),IF(U52&gt;U60,1,0),IF(V52&gt;V60,1,0))))</f>
        <v/>
      </c>
      <c r="X52" s="48"/>
      <c r="Y52" s="384" t="str">
        <f>IF(P56="7º Classificado","",P56)</f>
        <v/>
      </c>
      <c r="Z52" s="385"/>
      <c r="AA52" s="385"/>
      <c r="AB52" s="385"/>
      <c r="AC52" s="385"/>
      <c r="AD52" s="43" t="s">
        <v>38</v>
      </c>
      <c r="AE52" s="113"/>
      <c r="AN52" s="292"/>
      <c r="AO52" s="293"/>
      <c r="AP52" s="398"/>
      <c r="AQ52" s="398"/>
      <c r="AR52" s="398"/>
      <c r="AS52" s="290"/>
      <c r="AT52" s="291"/>
      <c r="AU52" s="291"/>
      <c r="AV52" s="290"/>
      <c r="AW52" s="291"/>
      <c r="AX52" s="291"/>
      <c r="AY52" s="290"/>
    </row>
    <row r="53" spans="2:53" ht="15.75" thickBot="1">
      <c r="H53" s="126"/>
      <c r="I53" s="55"/>
      <c r="J53" s="40"/>
      <c r="K53" s="59"/>
      <c r="L53" s="55"/>
      <c r="M53" s="42"/>
      <c r="N53" s="42"/>
      <c r="O53" s="42"/>
      <c r="P53" s="36"/>
      <c r="Q53" s="40"/>
      <c r="R53" s="55"/>
      <c r="S53" s="46"/>
      <c r="T53" s="42"/>
      <c r="U53" s="42"/>
      <c r="V53" s="67"/>
      <c r="W53" s="47"/>
      <c r="X53" s="48"/>
      <c r="Y53" s="386" t="str">
        <f>IF(Y52="","",IF(Y52=P54,P58,P54))</f>
        <v/>
      </c>
      <c r="Z53" s="387" t="e">
        <f>IF(#REF!="","",IF(#REF!=W53,"","(2º) "))</f>
        <v>#REF!</v>
      </c>
      <c r="AA53" s="387" t="e">
        <f>IF(#REF!="","",IF(#REF!=X53,"","(2º) "))</f>
        <v>#REF!</v>
      </c>
      <c r="AB53" s="387" t="e">
        <f>IF(#REF!="","",IF(#REF!=Y53,"","(2º) "))</f>
        <v>#REF!</v>
      </c>
      <c r="AC53" s="387" t="e">
        <f>IF(#REF!="","",IF(#REF!=Z53,"","(2º) "))</f>
        <v>#REF!</v>
      </c>
      <c r="AD53" s="164" t="s">
        <v>39</v>
      </c>
      <c r="AE53" s="113"/>
      <c r="AN53" s="292"/>
      <c r="AO53" s="293"/>
      <c r="AP53" s="398"/>
      <c r="AQ53" s="398"/>
      <c r="AR53" s="398"/>
      <c r="AS53" s="290"/>
      <c r="AT53" s="291"/>
      <c r="AU53" s="291"/>
      <c r="AV53" s="290"/>
      <c r="AW53" s="291"/>
      <c r="AX53" s="291"/>
      <c r="AY53" s="290"/>
    </row>
    <row r="54" spans="2:53" ht="15">
      <c r="H54" s="126"/>
      <c r="I54" s="369" t="str">
        <f>IF(I35="1ª Meia Final-Jogador2",CONCATENATE("Vencido do jogo ",H35),IF(I35=C34,C36,C34))</f>
        <v>Vencido do jogo 26</v>
      </c>
      <c r="J54" s="369"/>
      <c r="K54" s="370"/>
      <c r="L54" s="69"/>
      <c r="M54" s="69"/>
      <c r="N54" s="70"/>
      <c r="O54" s="38" t="str">
        <f>IF(COUNT(L54:N54)&lt;1,"",IF(SUM(IF(L50&lt;L54,1,0),IF(M50&lt;M54,1,0),IF(N50&lt;N54,1,0))&gt;2,"??",SUM(IF(L50&lt;L54,1,0),IF(M50&lt;M54,1,0),IF(N50&lt;N54,1,0))))</f>
        <v/>
      </c>
      <c r="P54" s="371" t="str">
        <f>IF(P52="Disputa 5º/6º Jogador1","Disputa 7º/8º  Jogador1",IF(P52=I50,I54,I50))</f>
        <v>Disputa 7º/8º  Jogador1</v>
      </c>
      <c r="Q54" s="399"/>
      <c r="R54" s="400"/>
      <c r="S54" s="69"/>
      <c r="T54" s="69"/>
      <c r="U54" s="69"/>
      <c r="V54" s="49" t="str">
        <f>IF(COUNT(S54:U54)&lt;1,"",IF(SUM(IF(S54&gt;S58,1,0),IF(T54&gt;T58,1,0),IF(U54&gt;U58,1,0))&gt;2,"??",SUM(IF(S54&gt;S58,1,0),IF(T54&gt;T58,1,0),IF(U54&gt;U58,1,0))))</f>
        <v/>
      </c>
      <c r="W54" s="50"/>
      <c r="X54" s="48"/>
      <c r="Y54" s="53"/>
      <c r="Z54" s="53"/>
      <c r="AA54" s="53"/>
      <c r="AB54" s="53"/>
      <c r="AC54" s="53"/>
      <c r="AD54" s="54"/>
      <c r="AE54" s="113"/>
      <c r="AN54" s="292"/>
      <c r="AO54" s="293"/>
      <c r="AP54" s="398"/>
      <c r="AQ54" s="398"/>
      <c r="AR54" s="398"/>
      <c r="AS54" s="290"/>
      <c r="AT54" s="291"/>
      <c r="AU54" s="291"/>
      <c r="AV54" s="290"/>
      <c r="AW54" s="291"/>
      <c r="AX54" s="291"/>
      <c r="AY54" s="290"/>
    </row>
    <row r="55" spans="2:53" ht="12.75" customHeight="1">
      <c r="H55" s="126"/>
      <c r="I55" s="55"/>
      <c r="J55" s="40"/>
      <c r="K55" s="59"/>
      <c r="L55" s="46"/>
      <c r="M55" s="42"/>
      <c r="N55" s="42"/>
      <c r="O55" s="42"/>
      <c r="P55" s="55"/>
      <c r="Q55" s="51"/>
      <c r="R55" s="46"/>
      <c r="S55" s="46"/>
      <c r="T55" s="41"/>
      <c r="U55" s="41"/>
      <c r="V55" s="52"/>
      <c r="W55" s="50"/>
      <c r="X55" s="48"/>
      <c r="Y55" s="53"/>
      <c r="Z55" s="53"/>
      <c r="AA55" s="53"/>
      <c r="AB55" s="53"/>
      <c r="AC55" s="53"/>
      <c r="AD55" s="54"/>
      <c r="AE55" s="113"/>
      <c r="AN55" s="176"/>
      <c r="AO55" s="285"/>
      <c r="AP55" s="285"/>
      <c r="AQ55" s="172"/>
      <c r="AR55" s="173"/>
      <c r="AS55" s="174"/>
      <c r="AT55" s="171"/>
      <c r="AU55" s="171"/>
      <c r="AV55" s="174"/>
      <c r="AW55" s="171"/>
      <c r="AX55" s="171"/>
      <c r="AY55" s="174"/>
      <c r="AZ55" s="108"/>
      <c r="BA55" s="108"/>
    </row>
    <row r="56" spans="2:53" ht="15.75">
      <c r="H56" s="126"/>
      <c r="I56" s="55"/>
      <c r="J56" s="40"/>
      <c r="K56" s="59"/>
      <c r="L56" s="55"/>
      <c r="M56" s="42"/>
      <c r="N56" s="42"/>
      <c r="O56" s="42"/>
      <c r="P56" s="397" t="str">
        <f>IF(OR(V54="",V58="")=TRUE,"7º Classificado",IF(V54&gt;V58,P54,P58))</f>
        <v>7º Classificado</v>
      </c>
      <c r="Q56" s="397"/>
      <c r="R56" s="397"/>
      <c r="S56" s="397"/>
      <c r="T56" s="397"/>
      <c r="U56" s="397"/>
      <c r="V56" s="65">
        <v>35</v>
      </c>
      <c r="W56" s="66">
        <v>36</v>
      </c>
      <c r="X56" s="381" t="str">
        <f>IF(OR(W52="",W60="")=TRUE,"5º Classificado",IF(W52&gt;W60,P52,P60))</f>
        <v>5º Classificado</v>
      </c>
      <c r="Y56" s="382"/>
      <c r="Z56" s="382"/>
      <c r="AA56" s="382"/>
      <c r="AB56" s="382"/>
      <c r="AC56" s="382"/>
      <c r="AD56" s="54"/>
      <c r="AE56" s="113"/>
      <c r="AN56" s="176"/>
      <c r="AO56" s="285"/>
      <c r="AP56" s="285"/>
      <c r="AQ56" s="172"/>
      <c r="AR56" s="173"/>
      <c r="AS56" s="174"/>
      <c r="AT56" s="171"/>
      <c r="AU56" s="171"/>
      <c r="AV56" s="174"/>
      <c r="AW56" s="171"/>
      <c r="AX56" s="171"/>
      <c r="AY56" s="174"/>
      <c r="AZ56" s="108"/>
      <c r="BA56" s="108"/>
    </row>
    <row r="57" spans="2:53" ht="15">
      <c r="H57" s="126"/>
      <c r="I57" s="55"/>
      <c r="J57" s="40"/>
      <c r="K57" s="59"/>
      <c r="L57" s="55"/>
      <c r="M57" s="42"/>
      <c r="N57" s="42"/>
      <c r="O57" s="42"/>
      <c r="P57" s="55"/>
      <c r="Q57" s="40"/>
      <c r="R57" s="55"/>
      <c r="S57" s="55"/>
      <c r="T57" s="42"/>
      <c r="U57" s="42"/>
      <c r="V57" s="56"/>
      <c r="W57" s="50"/>
      <c r="X57" s="48"/>
      <c r="Y57" s="383"/>
      <c r="Z57" s="383"/>
      <c r="AA57" s="383"/>
      <c r="AB57" s="383"/>
      <c r="AC57" s="383"/>
      <c r="AD57" s="54"/>
      <c r="AE57" s="113"/>
      <c r="AN57" s="176"/>
      <c r="AO57" s="285"/>
      <c r="AP57" s="285"/>
      <c r="AQ57" s="172"/>
      <c r="AR57" s="173"/>
      <c r="AS57" s="174"/>
      <c r="AT57" s="171"/>
      <c r="AU57" s="171"/>
      <c r="AV57" s="174"/>
      <c r="AW57" s="171"/>
      <c r="AX57" s="171"/>
      <c r="AY57" s="174"/>
      <c r="AZ57" s="108"/>
      <c r="BA57" s="108"/>
    </row>
    <row r="58" spans="2:53" ht="15">
      <c r="H58" s="126"/>
      <c r="I58" s="369" t="str">
        <f>IF(I39="2ª Meia Final-Jogador1",CONCATENATE("Vencido do jogo ",H39),IF(I39=C38,C40,C38))</f>
        <v>Vencido do jogo 27</v>
      </c>
      <c r="J58" s="369"/>
      <c r="K58" s="370"/>
      <c r="L58" s="69"/>
      <c r="M58" s="69"/>
      <c r="N58" s="70"/>
      <c r="O58" s="38" t="str">
        <f>IF(COUNT(L58:N58)&lt;1,"",IF(SUM(IF(L58&gt;L62,1,0),IF(M58&gt;M62,1,0),IF(N58&gt;N62,1,0))&gt;2,"??",SUM(IF(L58&gt;L62,1,0),IF(M58&gt;M62,1,0),IF(N58&gt;N62,1,0))))</f>
        <v/>
      </c>
      <c r="P58" s="371" t="str">
        <f>IF(P60="Disputa 5º/6º Jogador2","Disputa 7º/8º  Jogador2",IF(P60=I58,I62,I58))</f>
        <v>Disputa 7º/8º  Jogador2</v>
      </c>
      <c r="Q58" s="372"/>
      <c r="R58" s="373"/>
      <c r="S58" s="69"/>
      <c r="T58" s="69"/>
      <c r="U58" s="69"/>
      <c r="V58" s="49" t="str">
        <f>IF(COUNT(S58:U58)&lt;1,"",IF(SUM(IF(S54&lt;S58,1,0),IF(T54&lt;T58,1,0),IF(U54&lt;U58,1,0))&gt;2,"??",SUM(IF(S54&lt;S58,1,0),IF(T54&lt;T58,1,0),IF(U54&lt;U58,1,0))))</f>
        <v/>
      </c>
      <c r="W58" s="50"/>
      <c r="X58" s="48"/>
      <c r="Y58" s="53"/>
      <c r="Z58" s="53"/>
      <c r="AA58" s="53"/>
      <c r="AB58" s="57"/>
      <c r="AC58" s="57"/>
      <c r="AD58" s="58"/>
      <c r="AE58" s="113"/>
      <c r="AN58" s="176"/>
      <c r="AO58" s="285"/>
      <c r="AP58" s="285"/>
      <c r="AQ58" s="172"/>
      <c r="AR58" s="173"/>
      <c r="AS58" s="174"/>
      <c r="AT58" s="171"/>
      <c r="AU58" s="171"/>
      <c r="AV58" s="174"/>
      <c r="AW58" s="171"/>
      <c r="AX58" s="171"/>
      <c r="AY58" s="174"/>
      <c r="AZ58" s="108"/>
      <c r="BA58" s="108"/>
    </row>
    <row r="59" spans="2:53">
      <c r="H59" s="126"/>
      <c r="I59" s="55"/>
      <c r="J59" s="40"/>
      <c r="K59" s="59"/>
      <c r="L59" s="55"/>
      <c r="M59" s="41"/>
      <c r="N59" s="41"/>
      <c r="O59" s="42"/>
      <c r="P59" s="36"/>
      <c r="Q59" s="51"/>
      <c r="R59" s="46"/>
      <c r="S59" s="55"/>
      <c r="T59" s="42"/>
      <c r="U59" s="42"/>
      <c r="V59" s="67"/>
      <c r="W59" s="50"/>
      <c r="X59" s="48"/>
      <c r="Y59" s="53"/>
      <c r="Z59" s="53"/>
      <c r="AA59" s="53"/>
      <c r="AB59" s="53"/>
      <c r="AC59" s="53"/>
      <c r="AD59" s="54"/>
      <c r="AE59" s="113"/>
    </row>
    <row r="60" spans="2:53" ht="15">
      <c r="H60" s="126"/>
      <c r="I60" s="55"/>
      <c r="J60" s="40"/>
      <c r="K60" s="59"/>
      <c r="L60" s="55"/>
      <c r="M60" s="42"/>
      <c r="N60" s="42"/>
      <c r="O60" s="64">
        <v>34</v>
      </c>
      <c r="P60" s="374" t="str">
        <f>IF(OR(O58="",O62="")=TRUE,"Disputa 5º/6º Jogador2",IF(O58&gt;O62,I58,I62))</f>
        <v>Disputa 5º/6º Jogador2</v>
      </c>
      <c r="Q60" s="369"/>
      <c r="R60" s="369"/>
      <c r="S60" s="370"/>
      <c r="T60" s="69"/>
      <c r="U60" s="69"/>
      <c r="V60" s="69"/>
      <c r="W60" s="45" t="str">
        <f>IF(COUNT(T60:V60)&lt;1,"",IF(SUM(IF(T52&lt;T60,1,0),IF(U52&lt;U60,1,0),IF(V52&lt;V60,1,0))&gt;2,"??",SUM(IF(T52&lt;T60,1,0),IF(U52&lt;U60,1,0),IF(V52&lt;V60,1,0))))</f>
        <v/>
      </c>
      <c r="X60" s="48"/>
      <c r="Y60" s="53"/>
      <c r="Z60" s="53"/>
      <c r="AA60" s="53"/>
      <c r="AB60" s="53"/>
      <c r="AC60" s="53"/>
      <c r="AD60" s="54"/>
      <c r="AE60" s="113"/>
    </row>
    <row r="61" spans="2:53" ht="15" customHeight="1">
      <c r="H61" s="126"/>
      <c r="I61" s="55"/>
      <c r="J61" s="40"/>
      <c r="K61" s="59"/>
      <c r="L61" s="55"/>
      <c r="M61" s="42"/>
      <c r="N61" s="42"/>
      <c r="O61" s="42"/>
      <c r="P61" s="36"/>
      <c r="Q61" s="40"/>
      <c r="R61" s="55"/>
      <c r="S61" s="46"/>
      <c r="T61" s="55"/>
      <c r="U61" s="55"/>
      <c r="V61" s="60"/>
      <c r="W61" s="53"/>
      <c r="X61" s="48"/>
      <c r="Y61" s="53"/>
      <c r="Z61" s="53"/>
      <c r="AA61" s="53"/>
      <c r="AB61" s="53"/>
      <c r="AC61" s="53"/>
      <c r="AD61" s="54"/>
      <c r="AE61" s="113"/>
    </row>
    <row r="62" spans="2:53" ht="15">
      <c r="H62" s="126"/>
      <c r="I62" s="369" t="str">
        <f>IF(I43="2ª Meia Final-Jogador2",CONCATENATE("Vencido do jogo ",H43),IF(I43=C42,C44,C42))</f>
        <v>Vencido do jogo 28</v>
      </c>
      <c r="J62" s="369"/>
      <c r="K62" s="370"/>
      <c r="L62" s="69"/>
      <c r="M62" s="69"/>
      <c r="N62" s="70"/>
      <c r="O62" s="35" t="str">
        <f>IF(COUNT(L62:N62)&lt;1,"",IF(SUM(IF(L58&lt;L62,1,0),IF(M58&lt;M62,1,0),IF(N58&lt;N62,1,0))&gt;2,"??",SUM(IF(L58&lt;L62,1,0),IF(M58&lt;M62,1,0),IF(N58&lt;N62,1,0))))</f>
        <v/>
      </c>
      <c r="P62" s="36"/>
      <c r="Q62" s="40"/>
      <c r="R62" s="55"/>
      <c r="S62" s="55"/>
      <c r="T62" s="55"/>
      <c r="U62" s="55"/>
      <c r="V62" s="55"/>
      <c r="W62" s="54"/>
      <c r="X62" s="68"/>
      <c r="Y62" s="54"/>
      <c r="Z62" s="54"/>
      <c r="AA62" s="54"/>
      <c r="AB62" s="54"/>
      <c r="AC62" s="54"/>
      <c r="AD62" s="54"/>
      <c r="AE62" s="113"/>
    </row>
    <row r="63" spans="2:53">
      <c r="H63" s="128"/>
      <c r="I63" s="168"/>
      <c r="J63" s="169"/>
      <c r="K63" s="168"/>
      <c r="L63" s="170"/>
      <c r="M63" s="168"/>
      <c r="N63" s="168"/>
      <c r="O63" s="168"/>
      <c r="P63" s="168"/>
      <c r="Q63" s="169"/>
      <c r="R63" s="168"/>
      <c r="S63" s="168"/>
      <c r="T63" s="168"/>
      <c r="U63" s="168"/>
      <c r="V63" s="168"/>
      <c r="W63" s="122"/>
      <c r="X63" s="123"/>
      <c r="Y63" s="122"/>
      <c r="Z63" s="122"/>
      <c r="AA63" s="122"/>
      <c r="AB63" s="122"/>
      <c r="AC63" s="122"/>
      <c r="AD63" s="122"/>
      <c r="AE63" s="124"/>
    </row>
    <row r="64" spans="2:53" ht="6" customHeight="1">
      <c r="H64" s="54"/>
    </row>
    <row r="65" spans="4:53" ht="13.5" thickBot="1">
      <c r="D65" s="54"/>
      <c r="H65" s="125"/>
      <c r="I65" s="61"/>
      <c r="J65" s="167"/>
      <c r="K65" s="61"/>
      <c r="L65" s="61"/>
      <c r="M65" s="61"/>
      <c r="N65" s="61"/>
      <c r="O65" s="61"/>
      <c r="P65" s="61"/>
      <c r="Q65" s="167"/>
      <c r="R65" s="61"/>
      <c r="S65" s="61"/>
      <c r="T65" s="61"/>
      <c r="U65" s="61"/>
      <c r="V65" s="61"/>
      <c r="W65" s="61"/>
      <c r="X65" s="167"/>
      <c r="Y65" s="61"/>
      <c r="Z65" s="61"/>
      <c r="AA65" s="61"/>
      <c r="AB65" s="61"/>
      <c r="AC65" s="61"/>
      <c r="AD65" s="61"/>
      <c r="AE65" s="3"/>
      <c r="AN65" s="176"/>
      <c r="AO65" s="285"/>
      <c r="AP65" s="379"/>
      <c r="AQ65" s="379"/>
      <c r="AR65" s="379"/>
      <c r="AS65" s="174"/>
      <c r="AT65" s="171"/>
      <c r="AU65" s="171"/>
      <c r="AV65" s="174"/>
      <c r="AW65" s="171"/>
      <c r="AX65" s="171"/>
      <c r="AY65" s="174"/>
    </row>
    <row r="66" spans="4:53">
      <c r="D66" s="54"/>
      <c r="H66" s="126"/>
      <c r="I66" s="388" t="s">
        <v>55</v>
      </c>
      <c r="J66" s="388"/>
      <c r="K66" s="388"/>
      <c r="L66" s="388"/>
      <c r="M66" s="388"/>
      <c r="N66" s="388"/>
      <c r="O66" s="388"/>
      <c r="P66" s="388"/>
      <c r="Q66" s="388"/>
      <c r="R66" s="388"/>
      <c r="S66" s="388"/>
      <c r="T66" s="388"/>
      <c r="U66" s="388"/>
      <c r="V66" s="388"/>
      <c r="W66" s="388"/>
      <c r="X66" s="68"/>
      <c r="Y66" s="389" t="s">
        <v>0</v>
      </c>
      <c r="Z66" s="390"/>
      <c r="AA66" s="390"/>
      <c r="AB66" s="390"/>
      <c r="AC66" s="390"/>
      <c r="AD66" s="391"/>
      <c r="AE66" s="113"/>
      <c r="AN66" s="176"/>
      <c r="AO66" s="285"/>
      <c r="AP66" s="379"/>
      <c r="AQ66" s="379"/>
      <c r="AR66" s="379"/>
      <c r="AS66" s="174"/>
      <c r="AT66" s="171"/>
      <c r="AU66" s="171"/>
      <c r="AV66" s="174"/>
      <c r="AW66" s="171"/>
      <c r="AX66" s="171"/>
      <c r="AY66" s="174"/>
    </row>
    <row r="67" spans="4:53" ht="13.5" thickBot="1">
      <c r="D67" s="54"/>
      <c r="H67" s="126"/>
      <c r="I67" s="388"/>
      <c r="J67" s="388"/>
      <c r="K67" s="388"/>
      <c r="L67" s="388"/>
      <c r="M67" s="388"/>
      <c r="N67" s="388"/>
      <c r="O67" s="388"/>
      <c r="P67" s="388"/>
      <c r="Q67" s="388"/>
      <c r="R67" s="388"/>
      <c r="S67" s="388"/>
      <c r="T67" s="388"/>
      <c r="U67" s="388"/>
      <c r="V67" s="388"/>
      <c r="W67" s="388"/>
      <c r="X67" s="68"/>
      <c r="Y67" s="392"/>
      <c r="Z67" s="393"/>
      <c r="AA67" s="393"/>
      <c r="AB67" s="393"/>
      <c r="AC67" s="393"/>
      <c r="AD67" s="394"/>
      <c r="AE67" s="113"/>
      <c r="AN67" s="176"/>
      <c r="AO67" s="285"/>
      <c r="AP67" s="379"/>
      <c r="AQ67" s="379"/>
      <c r="AR67" s="379"/>
      <c r="AS67" s="174"/>
      <c r="AT67" s="171"/>
      <c r="AU67" s="171"/>
      <c r="AV67" s="174"/>
      <c r="AW67" s="171"/>
      <c r="AX67" s="171"/>
      <c r="AY67" s="174"/>
    </row>
    <row r="68" spans="4:53" ht="15.75">
      <c r="H68" s="126"/>
      <c r="I68" s="369" t="str">
        <f>IF(D14="","3º  do Grupo A",D14)</f>
        <v>3º  do Grupo A</v>
      </c>
      <c r="J68" s="369"/>
      <c r="K68" s="370"/>
      <c r="L68" s="69"/>
      <c r="M68" s="69"/>
      <c r="N68" s="70"/>
      <c r="O68" s="38" t="str">
        <f>IF(COUNT(L68:N68)&lt;1,"",IF(SUM(IF(L68&gt;L72,1,0),IF(M68&gt;M72,1,0),IF(N68&gt;N72,1,0))&gt;2,"??",SUM(IF(L68&gt;L72,1,0),IF(M68&gt;M72,1,0),IF(N68&gt;N72,1,0))))</f>
        <v/>
      </c>
      <c r="P68" s="55"/>
      <c r="Q68" s="40"/>
      <c r="R68" s="55"/>
      <c r="S68" s="55"/>
      <c r="T68" s="55"/>
      <c r="U68" s="55"/>
      <c r="V68" s="55"/>
      <c r="W68" s="54"/>
      <c r="X68" s="68"/>
      <c r="Y68" s="395" t="str">
        <f>IF(X74="9º Classificado","",X74)</f>
        <v/>
      </c>
      <c r="Z68" s="396"/>
      <c r="AA68" s="396"/>
      <c r="AB68" s="396"/>
      <c r="AC68" s="396"/>
      <c r="AD68" s="39" t="s">
        <v>56</v>
      </c>
      <c r="AE68" s="113"/>
      <c r="AN68" s="176"/>
      <c r="AO68" s="285"/>
      <c r="AP68" s="379"/>
      <c r="AQ68" s="379"/>
      <c r="AR68" s="379"/>
      <c r="AS68" s="174"/>
      <c r="AT68" s="171"/>
      <c r="AU68" s="171"/>
      <c r="AV68" s="174"/>
      <c r="AW68" s="171"/>
      <c r="AX68" s="171"/>
      <c r="AY68" s="174"/>
    </row>
    <row r="69" spans="4:53" ht="15" customHeight="1">
      <c r="H69" s="126"/>
      <c r="I69" s="55"/>
      <c r="J69" s="40"/>
      <c r="K69" s="59"/>
      <c r="L69" s="55"/>
      <c r="M69" s="41"/>
      <c r="N69" s="41"/>
      <c r="O69" s="42"/>
      <c r="P69" s="36"/>
      <c r="Q69" s="40"/>
      <c r="R69" s="55"/>
      <c r="S69" s="55"/>
      <c r="T69" s="55"/>
      <c r="U69" s="55"/>
      <c r="V69" s="60"/>
      <c r="W69" s="53"/>
      <c r="X69" s="48"/>
      <c r="Y69" s="384" t="str">
        <f>IF(Y68="","",IF(Y68=P70,P78,P70))</f>
        <v/>
      </c>
      <c r="Z69" s="385" t="e">
        <f>IF(#REF!="","",IF(#REF!=W69,"","(2º) "))</f>
        <v>#REF!</v>
      </c>
      <c r="AA69" s="385" t="e">
        <f>IF(#REF!="","",IF(#REF!=X69,"","(2º) "))</f>
        <v>#REF!</v>
      </c>
      <c r="AB69" s="385" t="e">
        <f>IF(#REF!="","",IF(#REF!=Y69,"","(2º) "))</f>
        <v>#REF!</v>
      </c>
      <c r="AC69" s="385" t="e">
        <f>IF(#REF!="","",IF(#REF!=Z69,"","(2º) "))</f>
        <v>#REF!</v>
      </c>
      <c r="AD69" s="43" t="s">
        <v>57</v>
      </c>
      <c r="AE69" s="113"/>
      <c r="AN69" s="176"/>
      <c r="AO69" s="285"/>
      <c r="AP69" s="379"/>
      <c r="AQ69" s="379"/>
      <c r="AR69" s="379"/>
      <c r="AS69" s="174"/>
      <c r="AT69" s="171"/>
      <c r="AU69" s="171"/>
      <c r="AV69" s="174"/>
      <c r="AW69" s="171"/>
      <c r="AX69" s="171"/>
      <c r="AY69" s="174"/>
    </row>
    <row r="70" spans="4:53" ht="15" customHeight="1">
      <c r="H70" s="126"/>
      <c r="I70" s="55"/>
      <c r="J70" s="40"/>
      <c r="K70" s="59"/>
      <c r="L70" s="55"/>
      <c r="M70" s="42"/>
      <c r="N70" s="42"/>
      <c r="O70" s="64">
        <v>37</v>
      </c>
      <c r="P70" s="374" t="str">
        <f>IF(OR(O68="",O72="")=TRUE,"Disputa 9º/10º Jogador1",IF(O68&gt;O72,I68,I72))</f>
        <v>Disputa 9º/10º Jogador1</v>
      </c>
      <c r="Q70" s="369"/>
      <c r="R70" s="369"/>
      <c r="S70" s="370"/>
      <c r="T70" s="69"/>
      <c r="U70" s="69"/>
      <c r="V70" s="69"/>
      <c r="W70" s="45" t="str">
        <f>IF(COUNT(T70:V70)&lt;1,"",IF(SUM(IF(T70&gt;T78,1,0),IF(U70&gt;U78,1,0),IF(V70&gt;V78,1,0))&gt;2,"??",SUM(IF(T70&gt;T78,1,0),IF(U70&gt;U78,1,0),IF(V70&gt;V78,1,0))))</f>
        <v/>
      </c>
      <c r="X70" s="48"/>
      <c r="Y70" s="384" t="str">
        <f>IF(P74="11º Classificado","",P74)</f>
        <v/>
      </c>
      <c r="Z70" s="385"/>
      <c r="AA70" s="385"/>
      <c r="AB70" s="385"/>
      <c r="AC70" s="385"/>
      <c r="AD70" s="43" t="s">
        <v>58</v>
      </c>
      <c r="AE70" s="113"/>
      <c r="AN70" s="176"/>
      <c r="AO70" s="285"/>
      <c r="AP70" s="379"/>
      <c r="AQ70" s="379"/>
      <c r="AR70" s="379"/>
      <c r="AS70" s="174"/>
      <c r="AT70" s="171"/>
      <c r="AU70" s="171"/>
      <c r="AV70" s="174"/>
      <c r="AW70" s="171"/>
      <c r="AX70" s="171"/>
      <c r="AY70" s="174"/>
    </row>
    <row r="71" spans="4:53" ht="15.75" thickBot="1">
      <c r="H71" s="126"/>
      <c r="I71" s="55"/>
      <c r="J71" s="40"/>
      <c r="K71" s="59"/>
      <c r="L71" s="55"/>
      <c r="M71" s="42"/>
      <c r="N71" s="42"/>
      <c r="O71" s="42"/>
      <c r="P71" s="36"/>
      <c r="Q71" s="40"/>
      <c r="R71" s="55"/>
      <c r="S71" s="46"/>
      <c r="T71" s="42"/>
      <c r="U71" s="42"/>
      <c r="V71" s="67"/>
      <c r="W71" s="47"/>
      <c r="X71" s="48"/>
      <c r="Y71" s="386" t="str">
        <f>IF(Y70="","",IF(Y70=P72,P76,P72))</f>
        <v/>
      </c>
      <c r="Z71" s="387"/>
      <c r="AA71" s="387"/>
      <c r="AB71" s="387"/>
      <c r="AC71" s="387"/>
      <c r="AD71" s="164" t="s">
        <v>59</v>
      </c>
      <c r="AE71" s="113"/>
      <c r="AN71" s="176"/>
      <c r="AO71" s="285"/>
      <c r="AP71" s="379"/>
      <c r="AQ71" s="379"/>
      <c r="AR71" s="379"/>
      <c r="AS71" s="174"/>
      <c r="AT71" s="171"/>
      <c r="AU71" s="171"/>
      <c r="AV71" s="174"/>
      <c r="AW71" s="171"/>
      <c r="AX71" s="171"/>
      <c r="AY71" s="174"/>
    </row>
    <row r="72" spans="4:53" ht="15">
      <c r="H72" s="126"/>
      <c r="I72" s="369" t="str">
        <f>IF(K14="","3º  do Grupo B",K14)</f>
        <v>3º  do Grupo B</v>
      </c>
      <c r="J72" s="369"/>
      <c r="K72" s="370"/>
      <c r="L72" s="69"/>
      <c r="M72" s="69"/>
      <c r="N72" s="70"/>
      <c r="O72" s="35" t="str">
        <f>IF(COUNT(L72:N72)&lt;1,"",IF(SUM(IF(L68&lt;L72,1,0),IF(M68&lt;M72,1,0),IF(N68&lt;N72,1,0))&gt;2,"??",SUM(IF(L68&lt;L72,1,0),IF(M68&lt;M72,1,0),IF(N68&lt;N72,1,0))))</f>
        <v/>
      </c>
      <c r="P72" s="376" t="str">
        <f>IF(P70="Disputa 9º/10º Jogador1","Disputa 11º/12º  Jogador1",IF(P70=I68,I72,I68))</f>
        <v>Disputa 11º/12º  Jogador1</v>
      </c>
      <c r="Q72" s="377"/>
      <c r="R72" s="378"/>
      <c r="S72" s="69"/>
      <c r="T72" s="69"/>
      <c r="U72" s="69"/>
      <c r="V72" s="49" t="str">
        <f>IF(COUNT(S72:U72)&lt;1,"",IF(SUM(IF(S72&gt;S76,1,0),IF(T72&gt;T76,1,0),IF(U72&gt;U76,1,0))&gt;2,"??",SUM(IF(S72&gt;S76,1,0),IF(T72&gt;T76,1,0),IF(U72&gt;U76,1,0))))</f>
        <v/>
      </c>
      <c r="W72" s="50"/>
      <c r="X72" s="48"/>
      <c r="Y72" s="53"/>
      <c r="Z72" s="53"/>
      <c r="AA72" s="53"/>
      <c r="AB72" s="53"/>
      <c r="AC72" s="53"/>
      <c r="AD72" s="54"/>
      <c r="AE72" s="113"/>
      <c r="AN72" s="176"/>
      <c r="AO72" s="285"/>
      <c r="AP72" s="379"/>
      <c r="AQ72" s="379"/>
      <c r="AR72" s="379"/>
      <c r="AS72" s="174"/>
      <c r="AT72" s="171"/>
      <c r="AU72" s="171"/>
      <c r="AV72" s="174"/>
      <c r="AW72" s="171"/>
      <c r="AX72" s="171"/>
      <c r="AY72" s="174"/>
    </row>
    <row r="73" spans="4:53" ht="12.75" customHeight="1">
      <c r="H73" s="126"/>
      <c r="I73" s="55"/>
      <c r="J73" s="40"/>
      <c r="K73" s="59"/>
      <c r="L73" s="46"/>
      <c r="M73" s="42"/>
      <c r="N73" s="42"/>
      <c r="O73" s="42"/>
      <c r="P73" s="55"/>
      <c r="Q73" s="51"/>
      <c r="R73" s="46"/>
      <c r="S73" s="46"/>
      <c r="T73" s="41"/>
      <c r="U73" s="41"/>
      <c r="V73" s="52"/>
      <c r="W73" s="50"/>
      <c r="X73" s="48"/>
      <c r="Y73" s="53"/>
      <c r="Z73" s="53"/>
      <c r="AA73" s="53"/>
      <c r="AB73" s="53"/>
      <c r="AC73" s="53"/>
      <c r="AD73" s="54"/>
      <c r="AE73" s="113"/>
      <c r="AN73" s="176"/>
      <c r="AO73" s="285"/>
      <c r="AP73" s="285"/>
      <c r="AQ73" s="172"/>
      <c r="AR73" s="173"/>
      <c r="AS73" s="174"/>
      <c r="AT73" s="171"/>
      <c r="AU73" s="171"/>
      <c r="AV73" s="174"/>
      <c r="AW73" s="171"/>
      <c r="AX73" s="171"/>
      <c r="AY73" s="174"/>
      <c r="AZ73" s="108"/>
      <c r="BA73" s="108"/>
    </row>
    <row r="74" spans="4:53" ht="15.75">
      <c r="H74" s="126"/>
      <c r="I74" s="55"/>
      <c r="J74" s="40"/>
      <c r="K74" s="59"/>
      <c r="L74" s="55"/>
      <c r="M74" s="42"/>
      <c r="N74" s="42"/>
      <c r="O74" s="42"/>
      <c r="P74" s="380" t="str">
        <f>IF(OR(V72="",V76="")=TRUE,"11º Classificado",IF(V72&gt;V76,P72,P76))</f>
        <v>11º Classificado</v>
      </c>
      <c r="Q74" s="380"/>
      <c r="R74" s="380"/>
      <c r="S74" s="380"/>
      <c r="T74" s="380"/>
      <c r="U74" s="380"/>
      <c r="V74" s="65">
        <v>39</v>
      </c>
      <c r="W74" s="66">
        <v>40</v>
      </c>
      <c r="X74" s="381" t="str">
        <f>IF(OR(W70="",W78="")=TRUE,"9º Classificado",IF(W70&gt;W78,P70,P78))</f>
        <v>9º Classificado</v>
      </c>
      <c r="Y74" s="382"/>
      <c r="Z74" s="382"/>
      <c r="AA74" s="382"/>
      <c r="AB74" s="382"/>
      <c r="AC74" s="382"/>
      <c r="AD74" s="54"/>
      <c r="AE74" s="113"/>
      <c r="AN74" s="176"/>
      <c r="AO74" s="285"/>
      <c r="AP74" s="285"/>
      <c r="AQ74" s="172"/>
      <c r="AR74" s="173"/>
      <c r="AS74" s="174"/>
      <c r="AT74" s="171"/>
      <c r="AU74" s="171"/>
      <c r="AV74" s="174"/>
      <c r="AW74" s="171"/>
      <c r="AX74" s="171"/>
      <c r="AY74" s="174"/>
      <c r="AZ74" s="108"/>
      <c r="BA74" s="108"/>
    </row>
    <row r="75" spans="4:53" ht="15">
      <c r="H75" s="126"/>
      <c r="I75" s="55"/>
      <c r="J75" s="40"/>
      <c r="K75" s="59"/>
      <c r="L75" s="55"/>
      <c r="M75" s="42"/>
      <c r="N75" s="42"/>
      <c r="O75" s="42"/>
      <c r="P75" s="55"/>
      <c r="Q75" s="40"/>
      <c r="R75" s="55"/>
      <c r="S75" s="55"/>
      <c r="T75" s="42"/>
      <c r="U75" s="42"/>
      <c r="V75" s="56"/>
      <c r="W75" s="50"/>
      <c r="X75" s="48"/>
      <c r="Y75" s="383"/>
      <c r="Z75" s="383"/>
      <c r="AA75" s="383"/>
      <c r="AB75" s="383"/>
      <c r="AC75" s="383"/>
      <c r="AD75" s="54"/>
      <c r="AE75" s="113"/>
      <c r="AN75" s="176"/>
      <c r="AO75" s="285"/>
      <c r="AP75" s="285"/>
      <c r="AQ75" s="172"/>
      <c r="AR75" s="173"/>
      <c r="AS75" s="174"/>
      <c r="AT75" s="171"/>
      <c r="AU75" s="171"/>
      <c r="AV75" s="174"/>
      <c r="AW75" s="171"/>
      <c r="AX75" s="171"/>
      <c r="AY75" s="174"/>
      <c r="AZ75" s="108"/>
      <c r="BA75" s="108"/>
    </row>
    <row r="76" spans="4:53" ht="15">
      <c r="H76" s="126"/>
      <c r="I76" s="369" t="str">
        <f>IF(R14="","3º  do Grupo C",R14)</f>
        <v>3º  do Grupo C</v>
      </c>
      <c r="J76" s="369"/>
      <c r="K76" s="370"/>
      <c r="L76" s="69"/>
      <c r="M76" s="69"/>
      <c r="N76" s="70"/>
      <c r="O76" s="38" t="str">
        <f>IF(COUNT(L76:N76)&lt;1,"",IF(SUM(IF(L76&gt;L80,1,0),IF(M76&gt;M80,1,0),IF(N76&gt;N80,1,0))&gt;2,"??",SUM(IF(L76&gt;L80,1,0),IF(M76&gt;M80,1,0),IF(N76&gt;N80,1,0))))</f>
        <v/>
      </c>
      <c r="P76" s="371" t="str">
        <f>IF(P78="Disputa 9º/10º Jogador2","Disputa 11º/12º  Jogador2",IF(P78=I76,I80,I76))</f>
        <v>Disputa 11º/12º  Jogador2</v>
      </c>
      <c r="Q76" s="372"/>
      <c r="R76" s="373"/>
      <c r="S76" s="69"/>
      <c r="T76" s="69"/>
      <c r="U76" s="69"/>
      <c r="V76" s="49" t="str">
        <f>IF(COUNT(S76:U76)&lt;1,"",IF(SUM(IF(S72&lt;S76,1,0),IF(T72&lt;T76,1,0),IF(U72&lt;U76,1,0))&gt;2,"??",SUM(IF(S72&lt;S76,1,0),IF(T72&lt;T76,1,0),IF(U72&lt;U76,1,0))))</f>
        <v/>
      </c>
      <c r="W76" s="50"/>
      <c r="X76" s="48"/>
      <c r="Y76" s="53"/>
      <c r="Z76" s="53"/>
      <c r="AA76" s="53"/>
      <c r="AB76" s="57"/>
      <c r="AC76" s="57"/>
      <c r="AD76" s="58"/>
      <c r="AE76" s="113"/>
      <c r="AN76" s="176"/>
      <c r="AO76" s="285"/>
      <c r="AP76" s="285"/>
      <c r="AQ76" s="172"/>
      <c r="AR76" s="173"/>
      <c r="AS76" s="174"/>
      <c r="AT76" s="171"/>
      <c r="AU76" s="171"/>
      <c r="AV76" s="174"/>
      <c r="AW76" s="171"/>
      <c r="AX76" s="171"/>
      <c r="AY76" s="174"/>
      <c r="AZ76" s="108"/>
      <c r="BA76" s="108"/>
    </row>
    <row r="77" spans="4:53">
      <c r="H77" s="126"/>
      <c r="I77" s="55"/>
      <c r="J77" s="40"/>
      <c r="K77" s="59"/>
      <c r="L77" s="55"/>
      <c r="M77" s="41"/>
      <c r="N77" s="41"/>
      <c r="O77" s="42"/>
      <c r="P77" s="36"/>
      <c r="Q77" s="51"/>
      <c r="R77" s="46"/>
      <c r="S77" s="55"/>
      <c r="T77" s="42"/>
      <c r="U77" s="42"/>
      <c r="V77" s="67"/>
      <c r="W77" s="50"/>
      <c r="X77" s="48"/>
      <c r="Y77" s="53"/>
      <c r="Z77" s="53"/>
      <c r="AA77" s="53"/>
      <c r="AB77" s="53"/>
      <c r="AC77" s="53"/>
      <c r="AD77" s="54"/>
      <c r="AE77" s="113"/>
    </row>
    <row r="78" spans="4:53" ht="15">
      <c r="H78" s="126"/>
      <c r="I78" s="55"/>
      <c r="J78" s="40"/>
      <c r="K78" s="59"/>
      <c r="L78" s="55"/>
      <c r="M78" s="42"/>
      <c r="N78" s="42"/>
      <c r="O78" s="64">
        <v>38</v>
      </c>
      <c r="P78" s="374" t="str">
        <f>IF(OR(O76="",O80="")=TRUE,"Disputa 9º/10º Jogador2",IF(O76&gt;O80,I76,I80))</f>
        <v>Disputa 9º/10º Jogador2</v>
      </c>
      <c r="Q78" s="369"/>
      <c r="R78" s="369"/>
      <c r="S78" s="370"/>
      <c r="T78" s="69"/>
      <c r="U78" s="69"/>
      <c r="V78" s="69"/>
      <c r="W78" s="45" t="str">
        <f>IF(COUNT(T78:V78)&lt;1,"",IF(SUM(IF(T70&lt;T78,1,0),IF(U70&lt;U78,1,0),IF(V70&lt;V78,1,0))&gt;2,"??",SUM(IF(T70&lt;T78,1,0),IF(U70&lt;U78,1,0),IF(V70&lt;V78,1,0))))</f>
        <v/>
      </c>
      <c r="X78" s="48"/>
      <c r="Y78" s="53"/>
      <c r="Z78" s="53"/>
      <c r="AA78" s="53"/>
      <c r="AB78" s="53"/>
      <c r="AC78" s="53"/>
      <c r="AD78" s="54"/>
      <c r="AE78" s="113"/>
    </row>
    <row r="79" spans="4:53" ht="15" customHeight="1">
      <c r="H79" s="126"/>
      <c r="I79" s="55"/>
      <c r="J79" s="40"/>
      <c r="K79" s="59"/>
      <c r="L79" s="55"/>
      <c r="M79" s="42"/>
      <c r="N79" s="42"/>
      <c r="O79" s="42"/>
      <c r="P79" s="36"/>
      <c r="Q79" s="40"/>
      <c r="R79" s="55"/>
      <c r="S79" s="46"/>
      <c r="T79" s="55"/>
      <c r="U79" s="55"/>
      <c r="V79" s="60"/>
      <c r="W79" s="53"/>
      <c r="X79" s="48"/>
      <c r="Y79" s="53"/>
      <c r="Z79" s="53"/>
      <c r="AA79" s="53"/>
      <c r="AB79" s="53"/>
      <c r="AC79" s="53"/>
      <c r="AD79" s="54"/>
      <c r="AE79" s="113"/>
    </row>
    <row r="80" spans="4:53" ht="15">
      <c r="H80" s="126"/>
      <c r="I80" s="369" t="str">
        <f>IF(Y14="","3º  do Grupo D",Y14)</f>
        <v>3º  do Grupo D</v>
      </c>
      <c r="J80" s="369"/>
      <c r="K80" s="370"/>
      <c r="L80" s="69"/>
      <c r="M80" s="69"/>
      <c r="N80" s="70"/>
      <c r="O80" s="35" t="str">
        <f>IF(COUNT(L80:N80)&lt;1,"",IF(SUM(IF(L76&lt;L80,1,0),IF(M76&lt;M80,1,0),IF(N76&lt;N80,1,0))&gt;2,"??",SUM(IF(L76&lt;L80,1,0),IF(M76&lt;M80,1,0),IF(N76&lt;N80,1,0))))</f>
        <v/>
      </c>
      <c r="P80" s="36"/>
      <c r="Q80" s="40"/>
      <c r="R80" s="55"/>
      <c r="S80" s="55"/>
      <c r="T80" s="55"/>
      <c r="U80" s="55"/>
      <c r="V80" s="55"/>
      <c r="W80" s="54"/>
      <c r="X80" s="68"/>
      <c r="Y80" s="54"/>
      <c r="Z80" s="54"/>
      <c r="AA80" s="54"/>
      <c r="AB80" s="54"/>
      <c r="AC80" s="54"/>
      <c r="AD80" s="54"/>
      <c r="AE80" s="113"/>
    </row>
    <row r="81" spans="4:53">
      <c r="H81" s="128"/>
      <c r="I81" s="168"/>
      <c r="J81" s="169"/>
      <c r="K81" s="168"/>
      <c r="L81" s="170"/>
      <c r="M81" s="168"/>
      <c r="N81" s="168"/>
      <c r="O81" s="168"/>
      <c r="P81" s="168"/>
      <c r="Q81" s="169"/>
      <c r="R81" s="168"/>
      <c r="S81" s="168"/>
      <c r="T81" s="168"/>
      <c r="U81" s="168"/>
      <c r="V81" s="168"/>
      <c r="W81" s="122"/>
      <c r="X81" s="123"/>
      <c r="Y81" s="122"/>
      <c r="Z81" s="122"/>
      <c r="AA81" s="122"/>
      <c r="AB81" s="122"/>
      <c r="AC81" s="122"/>
      <c r="AD81" s="122"/>
      <c r="AE81" s="124"/>
    </row>
    <row r="82" spans="4:53" ht="6" customHeight="1">
      <c r="H82" s="54"/>
    </row>
    <row r="83" spans="4:53" ht="13.5" thickBot="1">
      <c r="D83" s="54"/>
      <c r="H83" s="125"/>
      <c r="I83" s="61"/>
      <c r="J83" s="167"/>
      <c r="K83" s="61"/>
      <c r="L83" s="61"/>
      <c r="M83" s="61"/>
      <c r="N83" s="61"/>
      <c r="O83" s="61"/>
      <c r="P83" s="61"/>
      <c r="Q83" s="167"/>
      <c r="R83" s="61"/>
      <c r="S83" s="61"/>
      <c r="T83" s="61"/>
      <c r="U83" s="61"/>
      <c r="V83" s="61"/>
      <c r="W83" s="61"/>
      <c r="X83" s="167"/>
      <c r="Y83" s="61"/>
      <c r="Z83" s="61"/>
      <c r="AA83" s="61"/>
      <c r="AB83" s="61"/>
      <c r="AC83" s="61"/>
      <c r="AD83" s="61"/>
      <c r="AE83" s="3"/>
      <c r="AN83" s="176"/>
      <c r="AO83" s="285"/>
      <c r="AP83" s="379"/>
      <c r="AQ83" s="379"/>
      <c r="AR83" s="379"/>
      <c r="AS83" s="174"/>
      <c r="AT83" s="171"/>
      <c r="AU83" s="171"/>
      <c r="AV83" s="174"/>
      <c r="AW83" s="171"/>
      <c r="AX83" s="171"/>
      <c r="AY83" s="174"/>
    </row>
    <row r="84" spans="4:53">
      <c r="D84" s="54"/>
      <c r="H84" s="126"/>
      <c r="I84" s="388" t="s">
        <v>241</v>
      </c>
      <c r="J84" s="388"/>
      <c r="K84" s="388"/>
      <c r="L84" s="388"/>
      <c r="M84" s="388"/>
      <c r="N84" s="388"/>
      <c r="O84" s="388"/>
      <c r="P84" s="388"/>
      <c r="Q84" s="388"/>
      <c r="R84" s="388"/>
      <c r="S84" s="388"/>
      <c r="T84" s="388"/>
      <c r="U84" s="388"/>
      <c r="V84" s="388"/>
      <c r="W84" s="388"/>
      <c r="X84" s="68"/>
      <c r="Y84" s="389" t="s">
        <v>0</v>
      </c>
      <c r="Z84" s="390"/>
      <c r="AA84" s="390"/>
      <c r="AB84" s="390"/>
      <c r="AC84" s="390"/>
      <c r="AD84" s="391"/>
      <c r="AE84" s="113"/>
      <c r="AN84" s="176"/>
      <c r="AO84" s="285"/>
      <c r="AP84" s="379"/>
      <c r="AQ84" s="379"/>
      <c r="AR84" s="379"/>
      <c r="AS84" s="174"/>
      <c r="AT84" s="171"/>
      <c r="AU84" s="171"/>
      <c r="AV84" s="174"/>
      <c r="AW84" s="171"/>
      <c r="AX84" s="171"/>
      <c r="AY84" s="174"/>
    </row>
    <row r="85" spans="4:53" ht="13.5" thickBot="1">
      <c r="D85" s="54"/>
      <c r="H85" s="126"/>
      <c r="I85" s="388"/>
      <c r="J85" s="388"/>
      <c r="K85" s="388"/>
      <c r="L85" s="388"/>
      <c r="M85" s="388"/>
      <c r="N85" s="388"/>
      <c r="O85" s="388"/>
      <c r="P85" s="388"/>
      <c r="Q85" s="388"/>
      <c r="R85" s="388"/>
      <c r="S85" s="388"/>
      <c r="T85" s="388"/>
      <c r="U85" s="388"/>
      <c r="V85" s="388"/>
      <c r="W85" s="388"/>
      <c r="X85" s="68"/>
      <c r="Y85" s="392"/>
      <c r="Z85" s="393"/>
      <c r="AA85" s="393"/>
      <c r="AB85" s="393"/>
      <c r="AC85" s="393"/>
      <c r="AD85" s="394"/>
      <c r="AE85" s="113"/>
      <c r="AN85" s="176"/>
      <c r="AO85" s="285"/>
      <c r="AP85" s="379"/>
      <c r="AQ85" s="379"/>
      <c r="AR85" s="379"/>
      <c r="AS85" s="174"/>
      <c r="AT85" s="171"/>
      <c r="AU85" s="171"/>
      <c r="AV85" s="174"/>
      <c r="AW85" s="171"/>
      <c r="AX85" s="171"/>
      <c r="AY85" s="174"/>
    </row>
    <row r="86" spans="4:53" ht="15.75">
      <c r="H86" s="126"/>
      <c r="I86" s="369" t="str">
        <f>IF(D15="","4º  do Grupo A",D15)</f>
        <v>4º  do Grupo A</v>
      </c>
      <c r="J86" s="369"/>
      <c r="K86" s="370"/>
      <c r="L86" s="69"/>
      <c r="M86" s="69"/>
      <c r="N86" s="70"/>
      <c r="O86" s="38" t="str">
        <f>IF(COUNT(L86:N86)&lt;1,"",IF(SUM(IF(L86&gt;L90,1,0),IF(M86&gt;M90,1,0),IF(N86&gt;N90,1,0))&gt;2,"??",SUM(IF(L86&gt;L90,1,0),IF(M86&gt;M90,1,0),IF(N86&gt;N90,1,0))))</f>
        <v/>
      </c>
      <c r="P86" s="55"/>
      <c r="Q86" s="40"/>
      <c r="R86" s="55"/>
      <c r="S86" s="55"/>
      <c r="T86" s="55"/>
      <c r="U86" s="55"/>
      <c r="V86" s="55"/>
      <c r="W86" s="54"/>
      <c r="X86" s="68"/>
      <c r="Y86" s="395" t="str">
        <f>IF(X92="13º Classificado","",X92)</f>
        <v/>
      </c>
      <c r="Z86" s="396"/>
      <c r="AA86" s="396"/>
      <c r="AB86" s="396"/>
      <c r="AC86" s="396"/>
      <c r="AD86" s="39" t="s">
        <v>242</v>
      </c>
      <c r="AE86" s="113"/>
      <c r="AN86" s="176"/>
      <c r="AO86" s="285"/>
      <c r="AP86" s="379"/>
      <c r="AQ86" s="379"/>
      <c r="AR86" s="379"/>
      <c r="AS86" s="174"/>
      <c r="AT86" s="171"/>
      <c r="AU86" s="171"/>
      <c r="AV86" s="174"/>
      <c r="AW86" s="171"/>
      <c r="AX86" s="171"/>
      <c r="AY86" s="174"/>
    </row>
    <row r="87" spans="4:53" ht="15" customHeight="1">
      <c r="H87" s="126"/>
      <c r="I87" s="55"/>
      <c r="J87" s="40"/>
      <c r="K87" s="59"/>
      <c r="L87" s="55"/>
      <c r="M87" s="41"/>
      <c r="N87" s="41"/>
      <c r="O87" s="42"/>
      <c r="P87" s="36"/>
      <c r="Q87" s="40"/>
      <c r="R87" s="55"/>
      <c r="S87" s="55"/>
      <c r="T87" s="55"/>
      <c r="U87" s="55"/>
      <c r="V87" s="60"/>
      <c r="W87" s="53"/>
      <c r="X87" s="48"/>
      <c r="Y87" s="384" t="str">
        <f>IF(Y86="","",IF(Y86=P88,P96,P88))</f>
        <v/>
      </c>
      <c r="Z87" s="385" t="e">
        <f>IF(#REF!="","",IF(#REF!=W87,"","(2º) "))</f>
        <v>#REF!</v>
      </c>
      <c r="AA87" s="385" t="e">
        <f>IF(#REF!="","",IF(#REF!=X87,"","(2º) "))</f>
        <v>#REF!</v>
      </c>
      <c r="AB87" s="385" t="e">
        <f>IF(#REF!="","",IF(#REF!=Y87,"","(2º) "))</f>
        <v>#REF!</v>
      </c>
      <c r="AC87" s="385" t="e">
        <f>IF(#REF!="","",IF(#REF!=Z87,"","(2º) "))</f>
        <v>#REF!</v>
      </c>
      <c r="AD87" s="43" t="s">
        <v>243</v>
      </c>
      <c r="AE87" s="113"/>
      <c r="AN87" s="176"/>
      <c r="AO87" s="285"/>
      <c r="AP87" s="379"/>
      <c r="AQ87" s="379"/>
      <c r="AR87" s="379"/>
      <c r="AS87" s="174"/>
      <c r="AT87" s="171"/>
      <c r="AU87" s="171"/>
      <c r="AV87" s="174"/>
      <c r="AW87" s="171"/>
      <c r="AX87" s="171"/>
      <c r="AY87" s="174"/>
    </row>
    <row r="88" spans="4:53" ht="15" customHeight="1">
      <c r="H88" s="126"/>
      <c r="I88" s="55"/>
      <c r="J88" s="40"/>
      <c r="K88" s="59"/>
      <c r="L88" s="55"/>
      <c r="M88" s="42"/>
      <c r="N88" s="42"/>
      <c r="O88" s="64">
        <v>41</v>
      </c>
      <c r="P88" s="374" t="str">
        <f>IF(OR(O86="",O90="")=TRUE,"Disputa 13º/14º Jogador1",IF(O86&gt;O90,I86,I90))</f>
        <v>Disputa 13º/14º Jogador1</v>
      </c>
      <c r="Q88" s="369"/>
      <c r="R88" s="369"/>
      <c r="S88" s="370"/>
      <c r="T88" s="69"/>
      <c r="U88" s="69"/>
      <c r="V88" s="69"/>
      <c r="W88" s="45" t="str">
        <f>IF(COUNT(T88:V88)&lt;1,"",IF(SUM(IF(T88&gt;T96,1,0),IF(U88&gt;U96,1,0),IF(V88&gt;V96,1,0))&gt;2,"??",SUM(IF(T88&gt;T96,1,0),IF(U88&gt;U96,1,0),IF(V88&gt;V96,1,0))))</f>
        <v/>
      </c>
      <c r="X88" s="48"/>
      <c r="Y88" s="384" t="str">
        <f>IF(P92="15º Classificado","",P92)</f>
        <v/>
      </c>
      <c r="Z88" s="385"/>
      <c r="AA88" s="385"/>
      <c r="AB88" s="385"/>
      <c r="AC88" s="385"/>
      <c r="AD88" s="43" t="s">
        <v>244</v>
      </c>
      <c r="AE88" s="113"/>
      <c r="AN88" s="176"/>
      <c r="AO88" s="285"/>
      <c r="AP88" s="379"/>
      <c r="AQ88" s="379"/>
      <c r="AR88" s="379"/>
      <c r="AS88" s="174"/>
      <c r="AT88" s="171"/>
      <c r="AU88" s="171"/>
      <c r="AV88" s="174"/>
      <c r="AW88" s="171"/>
      <c r="AX88" s="171"/>
      <c r="AY88" s="174"/>
    </row>
    <row r="89" spans="4:53" ht="15.75" thickBot="1">
      <c r="H89" s="126"/>
      <c r="I89" s="55"/>
      <c r="J89" s="40"/>
      <c r="K89" s="59"/>
      <c r="L89" s="55"/>
      <c r="M89" s="42"/>
      <c r="N89" s="42"/>
      <c r="O89" s="42"/>
      <c r="P89" s="36"/>
      <c r="Q89" s="40"/>
      <c r="R89" s="55"/>
      <c r="S89" s="46"/>
      <c r="T89" s="42"/>
      <c r="U89" s="42"/>
      <c r="V89" s="67"/>
      <c r="W89" s="47"/>
      <c r="X89" s="48"/>
      <c r="Y89" s="386" t="str">
        <f>IF(Y88="","",IF(Y88=P90,P94,P90))</f>
        <v/>
      </c>
      <c r="Z89" s="387"/>
      <c r="AA89" s="387"/>
      <c r="AB89" s="387"/>
      <c r="AC89" s="387"/>
      <c r="AD89" s="164" t="s">
        <v>245</v>
      </c>
      <c r="AE89" s="113"/>
      <c r="AN89" s="176"/>
      <c r="AO89" s="285"/>
      <c r="AP89" s="379"/>
      <c r="AQ89" s="379"/>
      <c r="AR89" s="379"/>
      <c r="AS89" s="174"/>
      <c r="AT89" s="171"/>
      <c r="AU89" s="171"/>
      <c r="AV89" s="174"/>
      <c r="AW89" s="171"/>
      <c r="AX89" s="171"/>
      <c r="AY89" s="174"/>
    </row>
    <row r="90" spans="4:53" ht="15">
      <c r="H90" s="126"/>
      <c r="I90" s="369" t="str">
        <f>IF(K15="","4º  do Grupo B",K15)</f>
        <v>4º  do Grupo B</v>
      </c>
      <c r="J90" s="369"/>
      <c r="K90" s="370"/>
      <c r="L90" s="69"/>
      <c r="M90" s="69"/>
      <c r="N90" s="70"/>
      <c r="O90" s="35" t="str">
        <f>IF(COUNT(L90:N90)&lt;1,"",IF(SUM(IF(L86&lt;L90,1,0),IF(M86&lt;M90,1,0),IF(N86&lt;N90,1,0))&gt;2,"??",SUM(IF(L86&lt;L90,1,0),IF(M86&lt;M90,1,0),IF(N86&lt;N90,1,0))))</f>
        <v/>
      </c>
      <c r="P90" s="376" t="str">
        <f>IF(P88="Disputa 13º/14º Jogador1","Disputa 15º/16º  Jogador1",IF(P88=I86,I90,I86))</f>
        <v>Disputa 15º/16º  Jogador1</v>
      </c>
      <c r="Q90" s="377"/>
      <c r="R90" s="378"/>
      <c r="S90" s="69"/>
      <c r="T90" s="69"/>
      <c r="U90" s="69"/>
      <c r="V90" s="49" t="str">
        <f>IF(COUNT(S90:U90)&lt;1,"",IF(SUM(IF(S90&gt;S94,1,0),IF(T90&gt;T94,1,0),IF(U90&gt;U94,1,0))&gt;2,"??",SUM(IF(S90&gt;S94,1,0),IF(T90&gt;T94,1,0),IF(U90&gt;U94,1,0))))</f>
        <v/>
      </c>
      <c r="W90" s="50"/>
      <c r="X90" s="48"/>
      <c r="Y90" s="53"/>
      <c r="Z90" s="53"/>
      <c r="AA90" s="53"/>
      <c r="AB90" s="53"/>
      <c r="AC90" s="53"/>
      <c r="AD90" s="54"/>
      <c r="AE90" s="113"/>
      <c r="AN90" s="176"/>
      <c r="AO90" s="285"/>
      <c r="AP90" s="379"/>
      <c r="AQ90" s="379"/>
      <c r="AR90" s="379"/>
      <c r="AS90" s="174"/>
      <c r="AT90" s="171"/>
      <c r="AU90" s="171"/>
      <c r="AV90" s="174"/>
      <c r="AW90" s="171"/>
      <c r="AX90" s="171"/>
      <c r="AY90" s="174"/>
    </row>
    <row r="91" spans="4:53" ht="12.75" customHeight="1">
      <c r="H91" s="126"/>
      <c r="I91" s="55"/>
      <c r="J91" s="40"/>
      <c r="K91" s="59"/>
      <c r="L91" s="46"/>
      <c r="M91" s="42"/>
      <c r="N91" s="42"/>
      <c r="O91" s="42"/>
      <c r="P91" s="55"/>
      <c r="Q91" s="51"/>
      <c r="R91" s="46"/>
      <c r="S91" s="46"/>
      <c r="T91" s="41"/>
      <c r="U91" s="41"/>
      <c r="V91" s="52"/>
      <c r="W91" s="50"/>
      <c r="X91" s="48"/>
      <c r="Y91" s="53"/>
      <c r="Z91" s="53"/>
      <c r="AA91" s="53"/>
      <c r="AB91" s="53"/>
      <c r="AC91" s="53"/>
      <c r="AD91" s="54"/>
      <c r="AE91" s="113"/>
      <c r="AN91" s="176"/>
      <c r="AO91" s="285"/>
      <c r="AP91" s="285"/>
      <c r="AQ91" s="172"/>
      <c r="AR91" s="173"/>
      <c r="AS91" s="174"/>
      <c r="AT91" s="171"/>
      <c r="AU91" s="171"/>
      <c r="AV91" s="174"/>
      <c r="AW91" s="171"/>
      <c r="AX91" s="171"/>
      <c r="AY91" s="174"/>
      <c r="AZ91" s="108"/>
      <c r="BA91" s="108"/>
    </row>
    <row r="92" spans="4:53" ht="15.75">
      <c r="H92" s="126"/>
      <c r="I92" s="55"/>
      <c r="J92" s="40"/>
      <c r="K92" s="59"/>
      <c r="L92" s="55"/>
      <c r="M92" s="42"/>
      <c r="N92" s="42"/>
      <c r="O92" s="42"/>
      <c r="P92" s="380" t="str">
        <f>IF(OR(V90="",V94="")=TRUE,"15º Classificado",IF(V90&gt;V94,P90,P94))</f>
        <v>15º Classificado</v>
      </c>
      <c r="Q92" s="380"/>
      <c r="R92" s="380"/>
      <c r="S92" s="380"/>
      <c r="T92" s="380"/>
      <c r="U92" s="380"/>
      <c r="V92" s="65">
        <v>43</v>
      </c>
      <c r="W92" s="66">
        <v>44</v>
      </c>
      <c r="X92" s="381" t="str">
        <f>IF(OR(W88="",W96="")=TRUE,"13º Classificado",IF(W88&gt;W96,P88,P96))</f>
        <v>13º Classificado</v>
      </c>
      <c r="Y92" s="382"/>
      <c r="Z92" s="382"/>
      <c r="AA92" s="382"/>
      <c r="AB92" s="382"/>
      <c r="AC92" s="382"/>
      <c r="AD92" s="54"/>
      <c r="AE92" s="113"/>
      <c r="AN92" s="176"/>
      <c r="AO92" s="285"/>
      <c r="AP92" s="285"/>
      <c r="AQ92" s="172"/>
      <c r="AR92" s="173"/>
      <c r="AS92" s="174"/>
      <c r="AT92" s="171"/>
      <c r="AU92" s="171"/>
      <c r="AV92" s="174"/>
      <c r="AW92" s="171"/>
      <c r="AX92" s="171"/>
      <c r="AY92" s="174"/>
      <c r="AZ92" s="108"/>
      <c r="BA92" s="108"/>
    </row>
    <row r="93" spans="4:53" ht="15">
      <c r="H93" s="126"/>
      <c r="I93" s="55"/>
      <c r="J93" s="40"/>
      <c r="K93" s="59"/>
      <c r="L93" s="55"/>
      <c r="M93" s="42"/>
      <c r="N93" s="42"/>
      <c r="O93" s="42"/>
      <c r="P93" s="55"/>
      <c r="Q93" s="40"/>
      <c r="R93" s="55"/>
      <c r="S93" s="55"/>
      <c r="T93" s="42"/>
      <c r="U93" s="42"/>
      <c r="V93" s="56"/>
      <c r="W93" s="50"/>
      <c r="X93" s="48"/>
      <c r="Y93" s="383"/>
      <c r="Z93" s="383"/>
      <c r="AA93" s="383"/>
      <c r="AB93" s="383"/>
      <c r="AC93" s="383"/>
      <c r="AD93" s="54"/>
      <c r="AE93" s="113"/>
      <c r="AN93" s="176"/>
      <c r="AO93" s="285"/>
      <c r="AP93" s="285"/>
      <c r="AQ93" s="172"/>
      <c r="AR93" s="173"/>
      <c r="AS93" s="174"/>
      <c r="AT93" s="171"/>
      <c r="AU93" s="171"/>
      <c r="AV93" s="174"/>
      <c r="AW93" s="171"/>
      <c r="AX93" s="171"/>
      <c r="AY93" s="174"/>
      <c r="AZ93" s="108"/>
      <c r="BA93" s="108"/>
    </row>
    <row r="94" spans="4:53" ht="15">
      <c r="H94" s="126"/>
      <c r="I94" s="369" t="str">
        <f>IF(R15="","4º  do Grupo C",R15)</f>
        <v>4º  do Grupo C</v>
      </c>
      <c r="J94" s="369"/>
      <c r="K94" s="370"/>
      <c r="L94" s="69"/>
      <c r="M94" s="69"/>
      <c r="N94" s="70"/>
      <c r="O94" s="38" t="str">
        <f>IF(COUNT(L94:N94)&lt;1,"",IF(SUM(IF(L94&gt;L98,1,0),IF(M94&gt;M98,1,0),IF(N94&gt;N98,1,0))&gt;2,"??",SUM(IF(L94&gt;L98,1,0),IF(M94&gt;M98,1,0),IF(N94&gt;N98,1,0))))</f>
        <v/>
      </c>
      <c r="P94" s="371" t="str">
        <f>IF(P96="Disputa 13º/14º Jogador2","Disputa 15º/16º  Jogador2",IF(P96=I94,I98,I94))</f>
        <v>Disputa 15º/16º  Jogador2</v>
      </c>
      <c r="Q94" s="372"/>
      <c r="R94" s="373"/>
      <c r="S94" s="69"/>
      <c r="T94" s="69"/>
      <c r="U94" s="69"/>
      <c r="V94" s="49" t="str">
        <f>IF(COUNT(S94:U94)&lt;1,"",IF(SUM(IF(S90&lt;S94,1,0),IF(T90&lt;T94,1,0),IF(U90&lt;U94,1,0))&gt;2,"??",SUM(IF(S90&lt;S94,1,0),IF(T90&lt;T94,1,0),IF(U90&lt;U94,1,0))))</f>
        <v/>
      </c>
      <c r="W94" s="50"/>
      <c r="X94" s="48"/>
      <c r="Y94" s="53"/>
      <c r="Z94" s="53"/>
      <c r="AA94" s="53"/>
      <c r="AB94" s="57"/>
      <c r="AC94" s="57"/>
      <c r="AD94" s="58"/>
      <c r="AE94" s="113"/>
      <c r="AN94" s="176"/>
      <c r="AO94" s="285"/>
      <c r="AP94" s="285"/>
      <c r="AQ94" s="172"/>
      <c r="AR94" s="173"/>
      <c r="AS94" s="174"/>
      <c r="AT94" s="171"/>
      <c r="AU94" s="171"/>
      <c r="AV94" s="174"/>
      <c r="AW94" s="171"/>
      <c r="AX94" s="171"/>
      <c r="AY94" s="174"/>
      <c r="AZ94" s="108"/>
      <c r="BA94" s="108"/>
    </row>
    <row r="95" spans="4:53">
      <c r="H95" s="126"/>
      <c r="I95" s="55"/>
      <c r="J95" s="40"/>
      <c r="K95" s="59"/>
      <c r="L95" s="55"/>
      <c r="M95" s="41"/>
      <c r="N95" s="41"/>
      <c r="O95" s="42"/>
      <c r="P95" s="36"/>
      <c r="Q95" s="51"/>
      <c r="R95" s="46"/>
      <c r="S95" s="55"/>
      <c r="T95" s="42"/>
      <c r="U95" s="42"/>
      <c r="V95" s="67"/>
      <c r="W95" s="50"/>
      <c r="X95" s="48"/>
      <c r="Y95" s="53"/>
      <c r="Z95" s="53"/>
      <c r="AA95" s="53"/>
      <c r="AB95" s="53"/>
      <c r="AC95" s="53"/>
      <c r="AD95" s="54"/>
      <c r="AE95" s="113"/>
    </row>
    <row r="96" spans="4:53" ht="15">
      <c r="H96" s="126"/>
      <c r="I96" s="55"/>
      <c r="J96" s="40"/>
      <c r="K96" s="59"/>
      <c r="L96" s="55"/>
      <c r="M96" s="42"/>
      <c r="N96" s="42"/>
      <c r="O96" s="64">
        <v>42</v>
      </c>
      <c r="P96" s="374" t="str">
        <f>IF(OR(O94="",O98="")=TRUE,"Disputa 13º/14º Jogador2",IF(O94&gt;O98,I94,I98))</f>
        <v>Disputa 13º/14º Jogador2</v>
      </c>
      <c r="Q96" s="369"/>
      <c r="R96" s="369"/>
      <c r="S96" s="370"/>
      <c r="T96" s="69"/>
      <c r="U96" s="69"/>
      <c r="V96" s="69"/>
      <c r="W96" s="45" t="str">
        <f>IF(COUNT(T96:V96)&lt;1,"",IF(SUM(IF(T88&lt;T96,1,0),IF(U88&lt;U96,1,0),IF(V88&lt;V96,1,0))&gt;2,"??",SUM(IF(T88&lt;T96,1,0),IF(U88&lt;U96,1,0),IF(V88&lt;V96,1,0))))</f>
        <v/>
      </c>
      <c r="X96" s="48"/>
      <c r="Y96" s="53"/>
      <c r="Z96" s="53"/>
      <c r="AA96" s="53"/>
      <c r="AB96" s="53"/>
      <c r="AC96" s="53"/>
      <c r="AD96" s="54"/>
      <c r="AE96" s="113"/>
    </row>
    <row r="97" spans="8:93" ht="15" customHeight="1">
      <c r="H97" s="126"/>
      <c r="I97" s="55"/>
      <c r="J97" s="40"/>
      <c r="K97" s="59"/>
      <c r="L97" s="55"/>
      <c r="M97" s="42"/>
      <c r="N97" s="42"/>
      <c r="O97" s="42"/>
      <c r="P97" s="36"/>
      <c r="Q97" s="40"/>
      <c r="R97" s="55"/>
      <c r="S97" s="46"/>
      <c r="T97" s="55"/>
      <c r="U97" s="55"/>
      <c r="V97" s="60"/>
      <c r="W97" s="53"/>
      <c r="X97" s="48"/>
      <c r="Y97" s="53"/>
      <c r="Z97" s="53"/>
      <c r="AA97" s="53"/>
      <c r="AB97" s="53"/>
      <c r="AC97" s="53"/>
      <c r="AD97" s="54"/>
      <c r="AE97" s="113"/>
    </row>
    <row r="98" spans="8:93" ht="15">
      <c r="H98" s="126"/>
      <c r="I98" s="369" t="str">
        <f>IF(Y15="","4º  do Grupo D",Y15)</f>
        <v>4º  do Grupo D</v>
      </c>
      <c r="J98" s="369"/>
      <c r="K98" s="370"/>
      <c r="L98" s="69"/>
      <c r="M98" s="69"/>
      <c r="N98" s="70"/>
      <c r="O98" s="35" t="str">
        <f>IF(COUNT(L98:N98)&lt;1,"",IF(SUM(IF(L94&lt;L98,1,0),IF(M94&lt;M98,1,0),IF(N94&lt;N98,1,0))&gt;2,"??",SUM(IF(L94&lt;L98,1,0),IF(M94&lt;M98,1,0),IF(N94&lt;N98,1,0))))</f>
        <v/>
      </c>
      <c r="P98" s="36"/>
      <c r="Q98" s="40"/>
      <c r="R98" s="55"/>
      <c r="S98" s="55"/>
      <c r="T98" s="55"/>
      <c r="U98" s="55"/>
      <c r="V98" s="55"/>
      <c r="W98" s="54"/>
      <c r="X98" s="68"/>
      <c r="Y98" s="54"/>
      <c r="Z98" s="54"/>
      <c r="AA98" s="54"/>
      <c r="AB98" s="54"/>
      <c r="AC98" s="54"/>
      <c r="AD98" s="54"/>
      <c r="AE98" s="113"/>
    </row>
    <row r="99" spans="8:93">
      <c r="H99" s="128"/>
      <c r="I99" s="168"/>
      <c r="J99" s="169"/>
      <c r="K99" s="168"/>
      <c r="L99" s="170"/>
      <c r="M99" s="168"/>
      <c r="N99" s="168"/>
      <c r="O99" s="168"/>
      <c r="P99" s="168"/>
      <c r="Q99" s="169"/>
      <c r="R99" s="168"/>
      <c r="S99" s="168"/>
      <c r="T99" s="168"/>
      <c r="U99" s="168"/>
      <c r="V99" s="168"/>
      <c r="W99" s="122"/>
      <c r="X99" s="123"/>
      <c r="Y99" s="122"/>
      <c r="Z99" s="122"/>
      <c r="AA99" s="122"/>
      <c r="AB99" s="122"/>
      <c r="AC99" s="122"/>
      <c r="AD99" s="122"/>
      <c r="AE99" s="124"/>
    </row>
    <row r="100" spans="8:93" ht="48.75" customHeight="1" thickBot="1">
      <c r="AZ100" s="375"/>
      <c r="BA100" s="375"/>
      <c r="BB100" s="375"/>
      <c r="BC100" s="375"/>
      <c r="BD100" s="375"/>
      <c r="BE100" s="375"/>
      <c r="BF100" s="375"/>
      <c r="BG100" s="375"/>
      <c r="BH100" s="375"/>
      <c r="BI100" s="375"/>
      <c r="BJ100" s="375"/>
      <c r="BK100" s="375"/>
      <c r="BL100" s="375"/>
      <c r="BM100" s="375"/>
      <c r="BN100" s="375"/>
      <c r="BO100" s="375"/>
      <c r="BP100" s="375"/>
      <c r="BQ100" s="375"/>
      <c r="BR100" s="375"/>
      <c r="BS100" s="375"/>
      <c r="BT100" s="375"/>
      <c r="BU100" s="375"/>
      <c r="BV100" s="375"/>
      <c r="BW100" s="375"/>
      <c r="BX100" s="375"/>
      <c r="BY100" s="375"/>
      <c r="BZ100" s="375"/>
      <c r="CA100" s="375"/>
      <c r="CB100" s="375"/>
      <c r="CC100" s="375"/>
      <c r="CD100" s="375"/>
      <c r="CE100" s="375"/>
      <c r="CF100" s="375"/>
      <c r="CG100" s="375"/>
    </row>
    <row r="101" spans="8:93" ht="38.25" customHeight="1" thickBot="1">
      <c r="AZ101" s="87"/>
      <c r="BA101" s="367" t="str">
        <f>IF(BB102="","",CONCATENATE(VLOOKUP(BB102,$CI$102:$CO$145,2,FALSE),"  -  ",VLOOKUP(BB102,$CI$102:$CO$145,3,FALSE),,"  -  ",VLOOKUP(BB102,$CI$102:$CO$145,4,FALSE),"  -  ",VLOOKUP(BB102,$CI$102:$CO$145,5,FALSE)))</f>
        <v>Iniciados  -  Singulares  -  Masculinos  -  Grupo A</v>
      </c>
      <c r="BB101" s="367"/>
      <c r="BC101" s="367"/>
      <c r="BD101" s="367"/>
      <c r="BE101" s="367"/>
      <c r="BF101" s="367"/>
      <c r="BG101" s="367"/>
      <c r="BH101" s="367"/>
      <c r="BI101" s="367"/>
      <c r="BJ101" s="367"/>
      <c r="BK101" s="367"/>
      <c r="BL101" s="367"/>
      <c r="BM101" s="367"/>
      <c r="BN101" s="86"/>
      <c r="BO101" s="86"/>
      <c r="BP101" s="86"/>
      <c r="BQ101" s="86"/>
      <c r="BR101" s="86"/>
      <c r="BS101" s="86"/>
      <c r="BT101" s="86"/>
      <c r="BU101" s="86"/>
      <c r="BV101" s="86"/>
      <c r="BW101" s="86"/>
      <c r="BX101" s="86"/>
      <c r="BY101" s="86"/>
      <c r="BZ101" s="86"/>
      <c r="CA101" s="86"/>
      <c r="CB101" s="86"/>
      <c r="CC101" s="86"/>
      <c r="CD101" s="86"/>
      <c r="CE101" s="86"/>
      <c r="CF101" s="86"/>
      <c r="CG101" s="76"/>
      <c r="CI101" s="132" t="s">
        <v>26</v>
      </c>
      <c r="CJ101" s="132" t="s">
        <v>27</v>
      </c>
      <c r="CK101" s="132" t="s">
        <v>29</v>
      </c>
      <c r="CL101" s="132" t="s">
        <v>28</v>
      </c>
      <c r="CM101" s="132" t="s">
        <v>42</v>
      </c>
      <c r="CN101" s="132" t="s">
        <v>32</v>
      </c>
      <c r="CO101" s="132" t="s">
        <v>33</v>
      </c>
    </row>
    <row r="102" spans="8:93" ht="20.25" customHeight="1">
      <c r="AZ102" s="88"/>
      <c r="BA102" s="89" t="s">
        <v>25</v>
      </c>
      <c r="BB102" s="137">
        <f>IF($AG$27="","",$AG$27)</f>
        <v>1</v>
      </c>
      <c r="BC102" s="84"/>
      <c r="BD102" s="84"/>
      <c r="BE102" s="84"/>
      <c r="BF102" s="84"/>
      <c r="BG102" s="84"/>
      <c r="BH102" s="84"/>
      <c r="BI102" s="177" t="s">
        <v>51</v>
      </c>
      <c r="BJ102" s="84"/>
      <c r="BK102" s="84"/>
      <c r="BL102" s="294"/>
      <c r="BM102" s="295"/>
      <c r="BN102" s="90"/>
      <c r="BO102" s="90"/>
      <c r="BP102" s="90"/>
      <c r="BQ102" s="91"/>
      <c r="BR102" s="84"/>
      <c r="BS102" s="84"/>
      <c r="BT102" s="84"/>
      <c r="BU102" s="84"/>
      <c r="BV102" s="84"/>
      <c r="BW102" s="84"/>
      <c r="BX102" s="84"/>
      <c r="BY102" s="84"/>
      <c r="BZ102" s="84"/>
      <c r="CA102" s="84"/>
      <c r="CB102" s="84"/>
      <c r="CC102" s="84"/>
      <c r="CD102" s="84"/>
      <c r="CE102" s="84"/>
      <c r="CF102" s="84"/>
      <c r="CG102" s="92"/>
      <c r="CI102" s="133">
        <f>$C$16</f>
        <v>1</v>
      </c>
      <c r="CJ102" s="134" t="str">
        <f t="shared" ref="CJ102:CJ145" si="0">$H$2</f>
        <v>Iniciados</v>
      </c>
      <c r="CK102" s="134" t="str">
        <f t="shared" ref="CK102:CK145" si="1">$H$3</f>
        <v>Singulares</v>
      </c>
      <c r="CL102" s="134" t="str">
        <f t="shared" ref="CL102:CL145" si="2">$Q$3</f>
        <v>Masculinos</v>
      </c>
      <c r="CM102" s="134" t="str">
        <f>$C$5</f>
        <v>Grupo A</v>
      </c>
      <c r="CN102" s="134" t="str">
        <f>$D$16</f>
        <v>Manuel Pinto (AE Sertã)</v>
      </c>
      <c r="CO102" s="134" t="str">
        <f>$D$17</f>
        <v>A4</v>
      </c>
    </row>
    <row r="103" spans="8:93" ht="7.5" customHeight="1">
      <c r="AZ103" s="88"/>
      <c r="BA103" s="84"/>
      <c r="BB103" s="84"/>
      <c r="BC103" s="84"/>
      <c r="BD103" s="84"/>
      <c r="BE103" s="84"/>
      <c r="BF103" s="84"/>
      <c r="BG103" s="84"/>
      <c r="BH103" s="84"/>
      <c r="BI103" s="84"/>
      <c r="BJ103" s="84"/>
      <c r="BK103" s="84"/>
      <c r="BL103" s="296"/>
      <c r="BM103" s="297"/>
      <c r="BN103" s="84"/>
      <c r="BO103" s="84"/>
      <c r="BP103" s="84"/>
      <c r="BQ103" s="84"/>
      <c r="BR103" s="84"/>
      <c r="BS103" s="84"/>
      <c r="BT103" s="84"/>
      <c r="BU103" s="84"/>
      <c r="BV103" s="84"/>
      <c r="BW103" s="84"/>
      <c r="BX103" s="84"/>
      <c r="BY103" s="84"/>
      <c r="BZ103" s="84"/>
      <c r="CA103" s="84"/>
      <c r="CB103" s="84"/>
      <c r="CC103" s="84"/>
      <c r="CD103" s="84"/>
      <c r="CE103" s="84"/>
      <c r="CF103" s="84"/>
      <c r="CG103" s="92"/>
      <c r="CI103" s="135">
        <f>$C$18</f>
        <v>2</v>
      </c>
      <c r="CJ103" s="135" t="str">
        <f t="shared" si="0"/>
        <v>Iniciados</v>
      </c>
      <c r="CK103" s="135" t="str">
        <f t="shared" si="1"/>
        <v>Singulares</v>
      </c>
      <c r="CL103" s="135" t="str">
        <f t="shared" si="2"/>
        <v>Masculinos</v>
      </c>
      <c r="CM103" s="135" t="str">
        <f>$C$5</f>
        <v>Grupo A</v>
      </c>
      <c r="CN103" s="135" t="str">
        <f>$D$18</f>
        <v>A2</v>
      </c>
      <c r="CO103" s="135" t="str">
        <f>$D$19</f>
        <v>A3</v>
      </c>
    </row>
    <row r="104" spans="8:93" ht="17.25" customHeight="1" thickBot="1">
      <c r="AZ104" s="88"/>
      <c r="BA104" s="368" t="s">
        <v>34</v>
      </c>
      <c r="BB104" s="368"/>
      <c r="BC104" s="93" t="s">
        <v>20</v>
      </c>
      <c r="BD104" s="93"/>
      <c r="BE104" s="93"/>
      <c r="BF104" s="93" t="s">
        <v>21</v>
      </c>
      <c r="BG104" s="93"/>
      <c r="BH104" s="93"/>
      <c r="BI104" s="93" t="s">
        <v>22</v>
      </c>
      <c r="BJ104" s="93"/>
      <c r="BK104" s="93"/>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92"/>
      <c r="CI104" s="135">
        <f>$J$16</f>
        <v>3</v>
      </c>
      <c r="CJ104" s="135" t="str">
        <f t="shared" si="0"/>
        <v>Iniciados</v>
      </c>
      <c r="CK104" s="135" t="str">
        <f t="shared" si="1"/>
        <v>Singulares</v>
      </c>
      <c r="CL104" s="135" t="str">
        <f t="shared" si="2"/>
        <v>Masculinos</v>
      </c>
      <c r="CM104" s="135" t="str">
        <f>$J$5</f>
        <v>Grupo B</v>
      </c>
      <c r="CN104" s="135" t="str">
        <f>$K$16</f>
        <v>B1</v>
      </c>
      <c r="CO104" s="135" t="str">
        <f>$K$17</f>
        <v>B4</v>
      </c>
    </row>
    <row r="105" spans="8:93" ht="19.5" customHeight="1">
      <c r="AZ105" s="88"/>
      <c r="BA105" s="350" t="str">
        <f>IF(BB102="","",VLOOKUP(BB102,$CI$102:$CO$145,6,FALSE))</f>
        <v>Manuel Pinto (AE Sertã)</v>
      </c>
      <c r="BB105" s="351"/>
      <c r="BC105" s="354"/>
      <c r="BD105" s="355"/>
      <c r="BE105" s="356"/>
      <c r="BF105" s="354"/>
      <c r="BG105" s="355"/>
      <c r="BH105" s="356"/>
      <c r="BI105" s="354"/>
      <c r="BJ105" s="355"/>
      <c r="BK105" s="356"/>
      <c r="BL105" s="72"/>
      <c r="BM105" s="72"/>
      <c r="BN105" s="360"/>
      <c r="BO105" s="360"/>
      <c r="BP105" s="360"/>
      <c r="BQ105" s="94"/>
      <c r="BR105" s="95"/>
      <c r="BS105" s="84"/>
      <c r="BT105" s="84"/>
      <c r="BU105" s="84"/>
      <c r="BV105" s="84"/>
      <c r="BW105" s="84"/>
      <c r="BX105" s="84"/>
      <c r="BY105" s="84"/>
      <c r="BZ105" s="84"/>
      <c r="CA105" s="84"/>
      <c r="CB105" s="84"/>
      <c r="CC105" s="84"/>
      <c r="CD105" s="84"/>
      <c r="CE105" s="84"/>
      <c r="CF105" s="84"/>
      <c r="CG105" s="92"/>
      <c r="CI105" s="135">
        <f>$J$18</f>
        <v>4</v>
      </c>
      <c r="CJ105" s="135" t="str">
        <f t="shared" si="0"/>
        <v>Iniciados</v>
      </c>
      <c r="CK105" s="135" t="str">
        <f t="shared" si="1"/>
        <v>Singulares</v>
      </c>
      <c r="CL105" s="135" t="str">
        <f t="shared" si="2"/>
        <v>Masculinos</v>
      </c>
      <c r="CM105" s="135" t="str">
        <f>$J$5</f>
        <v>Grupo B</v>
      </c>
      <c r="CN105" s="135" t="str">
        <f>$K$18</f>
        <v>B2</v>
      </c>
      <c r="CO105" s="135" t="str">
        <f>$K$19</f>
        <v>B3</v>
      </c>
    </row>
    <row r="106" spans="8:93" ht="19.5" customHeight="1" thickBot="1">
      <c r="AZ106" s="88"/>
      <c r="BA106" s="352"/>
      <c r="BB106" s="353"/>
      <c r="BC106" s="357"/>
      <c r="BD106" s="358"/>
      <c r="BE106" s="359"/>
      <c r="BF106" s="357"/>
      <c r="BG106" s="358"/>
      <c r="BH106" s="359"/>
      <c r="BI106" s="357"/>
      <c r="BJ106" s="358"/>
      <c r="BK106" s="359"/>
      <c r="BL106" s="72"/>
      <c r="BM106" s="72"/>
      <c r="BN106" s="360"/>
      <c r="BO106" s="360"/>
      <c r="BP106" s="360"/>
      <c r="BQ106" s="94"/>
      <c r="BR106" s="95"/>
      <c r="BS106" s="84"/>
      <c r="BT106" s="84"/>
      <c r="BU106" s="84"/>
      <c r="BV106" s="84"/>
      <c r="BW106" s="84"/>
      <c r="BX106" s="84"/>
      <c r="BY106" s="84"/>
      <c r="BZ106" s="84"/>
      <c r="CA106" s="84"/>
      <c r="CB106" s="84"/>
      <c r="CC106" s="84"/>
      <c r="CD106" s="84"/>
      <c r="CE106" s="84"/>
      <c r="CF106" s="84"/>
      <c r="CG106" s="92"/>
      <c r="CI106" s="135">
        <f>$Q$16</f>
        <v>5</v>
      </c>
      <c r="CJ106" s="135" t="str">
        <f t="shared" si="0"/>
        <v>Iniciados</v>
      </c>
      <c r="CK106" s="135" t="str">
        <f t="shared" si="1"/>
        <v>Singulares</v>
      </c>
      <c r="CL106" s="135" t="str">
        <f t="shared" si="2"/>
        <v>Masculinos</v>
      </c>
      <c r="CM106" s="135" t="str">
        <f>$Q$5</f>
        <v>Grupo C</v>
      </c>
      <c r="CN106" s="135" t="str">
        <f>$R$16</f>
        <v>C1</v>
      </c>
      <c r="CO106" s="135" t="str">
        <f>$R$17</f>
        <v>C4</v>
      </c>
    </row>
    <row r="107" spans="8:93" ht="19.5" customHeight="1">
      <c r="AZ107" s="88"/>
      <c r="BA107" s="350" t="str">
        <f>IF(BB102="","",VLOOKUP(BB102,$CI$102:$CO$145,7,FALSE))</f>
        <v>A4</v>
      </c>
      <c r="BB107" s="351"/>
      <c r="BC107" s="354"/>
      <c r="BD107" s="355"/>
      <c r="BE107" s="356"/>
      <c r="BF107" s="354"/>
      <c r="BG107" s="355"/>
      <c r="BH107" s="356"/>
      <c r="BI107" s="354"/>
      <c r="BJ107" s="355"/>
      <c r="BK107" s="356"/>
      <c r="BL107" s="72"/>
      <c r="BM107" s="72"/>
      <c r="BN107" s="360"/>
      <c r="BO107" s="360"/>
      <c r="BP107" s="360"/>
      <c r="BQ107" s="94"/>
      <c r="BR107" s="95"/>
      <c r="BS107" s="84"/>
      <c r="BT107" s="84"/>
      <c r="BU107" s="84"/>
      <c r="BV107" s="84"/>
      <c r="BW107" s="84"/>
      <c r="BX107" s="84"/>
      <c r="BY107" s="84"/>
      <c r="BZ107" s="84"/>
      <c r="CA107" s="84"/>
      <c r="CB107" s="84"/>
      <c r="CC107" s="84"/>
      <c r="CD107" s="84"/>
      <c r="CE107" s="84"/>
      <c r="CF107" s="84"/>
      <c r="CG107" s="92"/>
      <c r="CI107" s="135">
        <f>$Q$18</f>
        <v>6</v>
      </c>
      <c r="CJ107" s="135" t="str">
        <f t="shared" si="0"/>
        <v>Iniciados</v>
      </c>
      <c r="CK107" s="135" t="str">
        <f t="shared" si="1"/>
        <v>Singulares</v>
      </c>
      <c r="CL107" s="135" t="str">
        <f t="shared" si="2"/>
        <v>Masculinos</v>
      </c>
      <c r="CM107" s="135" t="str">
        <f>$Q$5</f>
        <v>Grupo C</v>
      </c>
      <c r="CN107" s="135" t="str">
        <f>$R$18</f>
        <v>C2</v>
      </c>
      <c r="CO107" s="135" t="str">
        <f>$R$19</f>
        <v>C3</v>
      </c>
    </row>
    <row r="108" spans="8:93" ht="19.5" customHeight="1" thickBot="1">
      <c r="AZ108" s="88"/>
      <c r="BA108" s="352"/>
      <c r="BB108" s="353"/>
      <c r="BC108" s="357"/>
      <c r="BD108" s="358"/>
      <c r="BE108" s="359"/>
      <c r="BF108" s="357"/>
      <c r="BG108" s="358"/>
      <c r="BH108" s="359"/>
      <c r="BI108" s="357"/>
      <c r="BJ108" s="358"/>
      <c r="BK108" s="359"/>
      <c r="BL108" s="72"/>
      <c r="BM108" s="72"/>
      <c r="BN108" s="360"/>
      <c r="BO108" s="360"/>
      <c r="BP108" s="360"/>
      <c r="BQ108" s="96"/>
      <c r="BR108" s="95"/>
      <c r="BS108" s="84"/>
      <c r="BT108" s="84"/>
      <c r="BU108" s="84"/>
      <c r="BV108" s="84"/>
      <c r="BW108" s="84"/>
      <c r="BX108" s="84"/>
      <c r="BY108" s="84"/>
      <c r="BZ108" s="84"/>
      <c r="CA108" s="84"/>
      <c r="CB108" s="84"/>
      <c r="CC108" s="84"/>
      <c r="CD108" s="84"/>
      <c r="CE108" s="84"/>
      <c r="CF108" s="84"/>
      <c r="CG108" s="92"/>
      <c r="CI108" s="135">
        <f>$X$16</f>
        <v>7</v>
      </c>
      <c r="CJ108" s="135" t="str">
        <f t="shared" si="0"/>
        <v>Iniciados</v>
      </c>
      <c r="CK108" s="135" t="str">
        <f t="shared" si="1"/>
        <v>Singulares</v>
      </c>
      <c r="CL108" s="135" t="str">
        <f t="shared" si="2"/>
        <v>Masculinos</v>
      </c>
      <c r="CM108" s="135" t="str">
        <f>$X$5</f>
        <v>Grupo D</v>
      </c>
      <c r="CN108" s="135" t="str">
        <f>$Y$16</f>
        <v>D1</v>
      </c>
      <c r="CO108" s="135" t="str">
        <f>$Y$17</f>
        <v>D4</v>
      </c>
    </row>
    <row r="109" spans="8:93" ht="22.5" customHeight="1" thickBot="1">
      <c r="AZ109" s="88"/>
      <c r="BA109" s="97" t="s">
        <v>23</v>
      </c>
      <c r="BB109" s="361"/>
      <c r="BC109" s="362"/>
      <c r="BD109" s="362"/>
      <c r="BE109" s="362"/>
      <c r="BF109" s="363"/>
      <c r="BG109" s="363"/>
      <c r="BH109" s="363"/>
      <c r="BI109" s="363"/>
      <c r="BJ109" s="363"/>
      <c r="BK109" s="363"/>
      <c r="BL109" s="364"/>
      <c r="BM109" s="365"/>
      <c r="BN109" s="365"/>
      <c r="BO109" s="365"/>
      <c r="BP109" s="365"/>
      <c r="BQ109" s="95"/>
      <c r="BR109" s="95"/>
      <c r="BS109" s="84"/>
      <c r="BT109" s="84"/>
      <c r="BU109" s="84"/>
      <c r="BV109" s="84"/>
      <c r="BW109" s="84"/>
      <c r="BX109" s="84"/>
      <c r="BY109" s="84"/>
      <c r="BZ109" s="84"/>
      <c r="CA109" s="84"/>
      <c r="CB109" s="84"/>
      <c r="CC109" s="84"/>
      <c r="CD109" s="84"/>
      <c r="CE109" s="84"/>
      <c r="CF109" s="84"/>
      <c r="CG109" s="92"/>
      <c r="CI109" s="135">
        <f>$X$18</f>
        <v>8</v>
      </c>
      <c r="CJ109" s="135" t="str">
        <f t="shared" si="0"/>
        <v>Iniciados</v>
      </c>
      <c r="CK109" s="135" t="str">
        <f t="shared" si="1"/>
        <v>Singulares</v>
      </c>
      <c r="CL109" s="135" t="str">
        <f t="shared" si="2"/>
        <v>Masculinos</v>
      </c>
      <c r="CM109" s="135" t="str">
        <f>$X$5</f>
        <v>Grupo D</v>
      </c>
      <c r="CN109" s="135" t="str">
        <f>$Y$18</f>
        <v>D2</v>
      </c>
      <c r="CO109" s="135" t="str">
        <f>$Y$19</f>
        <v>D3</v>
      </c>
    </row>
    <row r="110" spans="8:93" ht="18.75" customHeight="1">
      <c r="AZ110" s="88"/>
      <c r="BA110" s="73" t="s">
        <v>34</v>
      </c>
      <c r="BB110" s="73"/>
      <c r="BC110" s="73"/>
      <c r="BD110" s="73"/>
      <c r="BE110" s="73"/>
      <c r="BF110" s="73"/>
      <c r="BG110" s="73"/>
      <c r="BH110" s="93"/>
      <c r="BI110" s="93"/>
      <c r="BJ110" s="93"/>
      <c r="BK110" s="93"/>
      <c r="BL110" s="93"/>
      <c r="BM110" s="93"/>
      <c r="BN110" s="93"/>
      <c r="BO110" s="93"/>
      <c r="BP110" s="93"/>
      <c r="BQ110" s="93"/>
      <c r="BR110" s="84"/>
      <c r="BS110" s="84"/>
      <c r="BT110" s="84"/>
      <c r="BU110" s="84"/>
      <c r="BV110" s="84"/>
      <c r="BW110" s="84"/>
      <c r="BX110" s="84"/>
      <c r="BY110" s="84"/>
      <c r="BZ110" s="84"/>
      <c r="CA110" s="84"/>
      <c r="CB110" s="84"/>
      <c r="CC110" s="84"/>
      <c r="CD110" s="84"/>
      <c r="CE110" s="84"/>
      <c r="CF110" s="84"/>
      <c r="CG110" s="92"/>
      <c r="CI110" s="135">
        <f>$C$20</f>
        <v>9</v>
      </c>
      <c r="CJ110" s="135" t="str">
        <f t="shared" si="0"/>
        <v>Iniciados</v>
      </c>
      <c r="CK110" s="135" t="str">
        <f t="shared" si="1"/>
        <v>Singulares</v>
      </c>
      <c r="CL110" s="135" t="str">
        <f t="shared" si="2"/>
        <v>Masculinos</v>
      </c>
      <c r="CM110" s="135" t="str">
        <f>$C$5</f>
        <v>Grupo A</v>
      </c>
      <c r="CN110" s="135" t="str">
        <f>$D$20</f>
        <v>A4</v>
      </c>
      <c r="CO110" s="135" t="str">
        <f>$D$21</f>
        <v>A3</v>
      </c>
    </row>
    <row r="111" spans="8:93" ht="15" customHeight="1">
      <c r="AZ111" s="88"/>
      <c r="BA111" s="346" t="str">
        <f>IF($BA$105="","",$BA$105)</f>
        <v>Manuel Pinto (AE Sertã)</v>
      </c>
      <c r="BB111" s="347"/>
      <c r="BC111" s="74"/>
      <c r="BD111" s="75"/>
      <c r="BE111" s="75"/>
      <c r="BF111" s="75"/>
      <c r="BG111" s="75"/>
      <c r="BH111" s="75"/>
      <c r="BI111" s="75"/>
      <c r="BJ111" s="75"/>
      <c r="BK111" s="75"/>
      <c r="BL111" s="76"/>
      <c r="BM111" s="178"/>
      <c r="BN111" s="180"/>
      <c r="BO111" s="77"/>
      <c r="BP111" s="77"/>
      <c r="BQ111" s="77"/>
      <c r="BR111" s="78"/>
      <c r="BS111" s="75"/>
      <c r="BT111" s="75"/>
      <c r="BU111" s="75"/>
      <c r="BV111" s="75"/>
      <c r="BW111" s="178"/>
      <c r="BX111" s="76"/>
      <c r="BY111" s="75"/>
      <c r="BZ111" s="75"/>
      <c r="CA111" s="75"/>
      <c r="CB111" s="75"/>
      <c r="CC111" s="75"/>
      <c r="CD111" s="75"/>
      <c r="CE111" s="75"/>
      <c r="CF111" s="75"/>
      <c r="CG111" s="92"/>
      <c r="CI111" s="135">
        <f>$C$22</f>
        <v>10</v>
      </c>
      <c r="CJ111" s="135" t="str">
        <f t="shared" si="0"/>
        <v>Iniciados</v>
      </c>
      <c r="CK111" s="135" t="str">
        <f t="shared" si="1"/>
        <v>Singulares</v>
      </c>
      <c r="CL111" s="135" t="str">
        <f t="shared" si="2"/>
        <v>Masculinos</v>
      </c>
      <c r="CM111" s="135" t="str">
        <f>$C$5</f>
        <v>Grupo A</v>
      </c>
      <c r="CN111" s="135" t="str">
        <f>$D$22</f>
        <v>Manuel Pinto (AE Sertã)</v>
      </c>
      <c r="CO111" s="135" t="str">
        <f>$D$23</f>
        <v>A2</v>
      </c>
    </row>
    <row r="112" spans="8:93" ht="15" customHeight="1">
      <c r="AZ112" s="88"/>
      <c r="BA112" s="348"/>
      <c r="BB112" s="349"/>
      <c r="BC112" s="79"/>
      <c r="BD112" s="80"/>
      <c r="BE112" s="80"/>
      <c r="BF112" s="80"/>
      <c r="BG112" s="80"/>
      <c r="BH112" s="80"/>
      <c r="BI112" s="80"/>
      <c r="BJ112" s="80"/>
      <c r="BK112" s="80"/>
      <c r="BL112" s="81"/>
      <c r="BM112" s="179"/>
      <c r="BN112" s="181"/>
      <c r="BO112" s="82"/>
      <c r="BP112" s="82"/>
      <c r="BQ112" s="82"/>
      <c r="BR112" s="83"/>
      <c r="BS112" s="80"/>
      <c r="BT112" s="80"/>
      <c r="BU112" s="80"/>
      <c r="BV112" s="80"/>
      <c r="BW112" s="179"/>
      <c r="BX112" s="81"/>
      <c r="BY112" s="80"/>
      <c r="BZ112" s="80"/>
      <c r="CA112" s="80"/>
      <c r="CB112" s="80"/>
      <c r="CC112" s="80"/>
      <c r="CD112" s="80"/>
      <c r="CE112" s="80"/>
      <c r="CF112" s="80"/>
      <c r="CG112" s="98" t="s">
        <v>1</v>
      </c>
      <c r="CI112" s="135">
        <f>$J$20</f>
        <v>11</v>
      </c>
      <c r="CJ112" s="135" t="str">
        <f t="shared" si="0"/>
        <v>Iniciados</v>
      </c>
      <c r="CK112" s="135" t="str">
        <f t="shared" si="1"/>
        <v>Singulares</v>
      </c>
      <c r="CL112" s="135" t="str">
        <f t="shared" si="2"/>
        <v>Masculinos</v>
      </c>
      <c r="CM112" s="135" t="str">
        <f>$J$5</f>
        <v>Grupo B</v>
      </c>
      <c r="CN112" s="135" t="str">
        <f>$K$20</f>
        <v>B4</v>
      </c>
      <c r="CO112" s="135" t="str">
        <f>$K$21</f>
        <v>B3</v>
      </c>
    </row>
    <row r="113" spans="52:93" ht="15" customHeight="1">
      <c r="AZ113" s="88"/>
      <c r="BA113" s="346" t="str">
        <f>IF($BA$107="","",$BA$107)</f>
        <v>A4</v>
      </c>
      <c r="BB113" s="347"/>
      <c r="BC113" s="74"/>
      <c r="BD113" s="75"/>
      <c r="BE113" s="75"/>
      <c r="BF113" s="75"/>
      <c r="BG113" s="75"/>
      <c r="BH113" s="75"/>
      <c r="BI113" s="75"/>
      <c r="BJ113" s="75"/>
      <c r="BK113" s="75"/>
      <c r="BL113" s="76"/>
      <c r="BM113" s="178"/>
      <c r="BN113" s="180"/>
      <c r="BO113" s="77"/>
      <c r="BP113" s="77"/>
      <c r="BQ113" s="77"/>
      <c r="BR113" s="78"/>
      <c r="BS113" s="75"/>
      <c r="BT113" s="75"/>
      <c r="BU113" s="75"/>
      <c r="BV113" s="75"/>
      <c r="BW113" s="178"/>
      <c r="BX113" s="76"/>
      <c r="BY113" s="75"/>
      <c r="BZ113" s="75"/>
      <c r="CA113" s="75"/>
      <c r="CB113" s="75"/>
      <c r="CC113" s="75"/>
      <c r="CD113" s="75"/>
      <c r="CE113" s="75"/>
      <c r="CF113" s="75"/>
      <c r="CG113" s="99"/>
      <c r="CI113" s="135">
        <f>$J$22</f>
        <v>12</v>
      </c>
      <c r="CJ113" s="135" t="str">
        <f t="shared" si="0"/>
        <v>Iniciados</v>
      </c>
      <c r="CK113" s="135" t="str">
        <f t="shared" si="1"/>
        <v>Singulares</v>
      </c>
      <c r="CL113" s="135" t="str">
        <f t="shared" si="2"/>
        <v>Masculinos</v>
      </c>
      <c r="CM113" s="135" t="str">
        <f>$J$5</f>
        <v>Grupo B</v>
      </c>
      <c r="CN113" s="135" t="str">
        <f>$K$22</f>
        <v>B1</v>
      </c>
      <c r="CO113" s="135" t="str">
        <f>$K$23</f>
        <v>B2</v>
      </c>
    </row>
    <row r="114" spans="52:93" ht="15" customHeight="1">
      <c r="AZ114" s="88"/>
      <c r="BA114" s="348"/>
      <c r="BB114" s="349"/>
      <c r="BC114" s="79"/>
      <c r="BD114" s="80"/>
      <c r="BE114" s="80"/>
      <c r="BF114" s="80"/>
      <c r="BG114" s="80"/>
      <c r="BH114" s="80"/>
      <c r="BI114" s="80"/>
      <c r="BJ114" s="80"/>
      <c r="BK114" s="80"/>
      <c r="BL114" s="81"/>
      <c r="BM114" s="179"/>
      <c r="BN114" s="181"/>
      <c r="BO114" s="82"/>
      <c r="BP114" s="82"/>
      <c r="BQ114" s="82"/>
      <c r="BR114" s="83"/>
      <c r="BS114" s="80"/>
      <c r="BT114" s="80"/>
      <c r="BU114" s="80"/>
      <c r="BV114" s="80"/>
      <c r="BW114" s="179"/>
      <c r="BX114" s="81"/>
      <c r="BY114" s="80"/>
      <c r="BZ114" s="80"/>
      <c r="CA114" s="80"/>
      <c r="CB114" s="80"/>
      <c r="CC114" s="80"/>
      <c r="CD114" s="80"/>
      <c r="CE114" s="80"/>
      <c r="CF114" s="80"/>
      <c r="CG114" s="92"/>
      <c r="CI114" s="135">
        <f>$Q$20</f>
        <v>13</v>
      </c>
      <c r="CJ114" s="135" t="str">
        <f t="shared" si="0"/>
        <v>Iniciados</v>
      </c>
      <c r="CK114" s="135" t="str">
        <f t="shared" si="1"/>
        <v>Singulares</v>
      </c>
      <c r="CL114" s="135" t="str">
        <f t="shared" si="2"/>
        <v>Masculinos</v>
      </c>
      <c r="CM114" s="135" t="str">
        <f>$Q$5</f>
        <v>Grupo C</v>
      </c>
      <c r="CN114" s="135" t="str">
        <f>$R$20</f>
        <v>C4</v>
      </c>
      <c r="CO114" s="135" t="str">
        <f>$R$21</f>
        <v>C3</v>
      </c>
    </row>
    <row r="115" spans="52:93" ht="12.75" customHeight="1">
      <c r="AZ115" s="88"/>
      <c r="BA115" s="84"/>
      <c r="BB115" s="84"/>
      <c r="BC115" s="100">
        <v>1</v>
      </c>
      <c r="BD115" s="100">
        <v>2</v>
      </c>
      <c r="BE115" s="100">
        <v>3</v>
      </c>
      <c r="BF115" s="100">
        <v>4</v>
      </c>
      <c r="BG115" s="100">
        <v>5</v>
      </c>
      <c r="BH115" s="100">
        <v>6</v>
      </c>
      <c r="BI115" s="100">
        <v>7</v>
      </c>
      <c r="BJ115" s="100">
        <v>8</v>
      </c>
      <c r="BK115" s="100">
        <v>9</v>
      </c>
      <c r="BL115" s="100">
        <v>10</v>
      </c>
      <c r="BM115" s="100">
        <v>11</v>
      </c>
      <c r="BN115" s="100">
        <v>12</v>
      </c>
      <c r="BO115" s="100">
        <v>13</v>
      </c>
      <c r="BP115" s="100">
        <v>14</v>
      </c>
      <c r="BQ115" s="100">
        <v>15</v>
      </c>
      <c r="BR115" s="100">
        <v>16</v>
      </c>
      <c r="BS115" s="100">
        <v>17</v>
      </c>
      <c r="BT115" s="100">
        <v>18</v>
      </c>
      <c r="BU115" s="100">
        <v>19</v>
      </c>
      <c r="BV115" s="100">
        <v>20</v>
      </c>
      <c r="BW115" s="100">
        <v>21</v>
      </c>
      <c r="BX115" s="100">
        <v>22</v>
      </c>
      <c r="BY115" s="100">
        <v>23</v>
      </c>
      <c r="BZ115" s="100">
        <v>24</v>
      </c>
      <c r="CA115" s="100">
        <v>25</v>
      </c>
      <c r="CB115" s="100">
        <v>26</v>
      </c>
      <c r="CC115" s="100">
        <v>27</v>
      </c>
      <c r="CD115" s="100">
        <v>28</v>
      </c>
      <c r="CE115" s="100">
        <v>29</v>
      </c>
      <c r="CF115" s="100">
        <v>30</v>
      </c>
      <c r="CG115" s="101"/>
      <c r="CI115" s="135">
        <f>$Q$22</f>
        <v>14</v>
      </c>
      <c r="CJ115" s="135" t="str">
        <f t="shared" si="0"/>
        <v>Iniciados</v>
      </c>
      <c r="CK115" s="135" t="str">
        <f t="shared" si="1"/>
        <v>Singulares</v>
      </c>
      <c r="CL115" s="135" t="str">
        <f t="shared" si="2"/>
        <v>Masculinos</v>
      </c>
      <c r="CM115" s="135" t="str">
        <f>$Q$5</f>
        <v>Grupo C</v>
      </c>
      <c r="CN115" s="135" t="str">
        <f>$R$22</f>
        <v>C1</v>
      </c>
      <c r="CO115" s="135" t="str">
        <f>$R$23</f>
        <v>C2</v>
      </c>
    </row>
    <row r="116" spans="52:93" ht="15" customHeight="1">
      <c r="AZ116" s="88"/>
      <c r="BA116" s="346" t="str">
        <f>IF($BA$105="","",$BA$105)</f>
        <v>Manuel Pinto (AE Sertã)</v>
      </c>
      <c r="BB116" s="347"/>
      <c r="BC116" s="74"/>
      <c r="BD116" s="75"/>
      <c r="BE116" s="75"/>
      <c r="BF116" s="75"/>
      <c r="BG116" s="75"/>
      <c r="BH116" s="75"/>
      <c r="BI116" s="75"/>
      <c r="BJ116" s="75"/>
      <c r="BK116" s="75"/>
      <c r="BL116" s="76"/>
      <c r="BM116" s="178"/>
      <c r="BN116" s="180"/>
      <c r="BO116" s="77"/>
      <c r="BP116" s="77"/>
      <c r="BQ116" s="77"/>
      <c r="BR116" s="78"/>
      <c r="BS116" s="75"/>
      <c r="BT116" s="75"/>
      <c r="BU116" s="75"/>
      <c r="BV116" s="75"/>
      <c r="BW116" s="178"/>
      <c r="BX116" s="76"/>
      <c r="BY116" s="75"/>
      <c r="BZ116" s="75"/>
      <c r="CA116" s="75"/>
      <c r="CB116" s="75"/>
      <c r="CC116" s="75"/>
      <c r="CD116" s="75"/>
      <c r="CE116" s="75"/>
      <c r="CF116" s="75"/>
      <c r="CG116" s="92"/>
      <c r="CI116" s="135">
        <f>$X$20</f>
        <v>15</v>
      </c>
      <c r="CJ116" s="135" t="str">
        <f t="shared" si="0"/>
        <v>Iniciados</v>
      </c>
      <c r="CK116" s="135" t="str">
        <f t="shared" si="1"/>
        <v>Singulares</v>
      </c>
      <c r="CL116" s="135" t="str">
        <f t="shared" si="2"/>
        <v>Masculinos</v>
      </c>
      <c r="CM116" s="135" t="str">
        <f>$X$5</f>
        <v>Grupo D</v>
      </c>
      <c r="CN116" s="135" t="str">
        <f>$Y$20</f>
        <v>D4</v>
      </c>
      <c r="CO116" s="135" t="str">
        <f>$Y$21</f>
        <v>D3</v>
      </c>
    </row>
    <row r="117" spans="52:93" ht="15" customHeight="1">
      <c r="AZ117" s="88"/>
      <c r="BA117" s="348"/>
      <c r="BB117" s="349"/>
      <c r="BC117" s="79"/>
      <c r="BD117" s="80"/>
      <c r="BE117" s="80"/>
      <c r="BF117" s="80"/>
      <c r="BG117" s="80"/>
      <c r="BH117" s="80"/>
      <c r="BI117" s="80"/>
      <c r="BJ117" s="80"/>
      <c r="BK117" s="80"/>
      <c r="BL117" s="81"/>
      <c r="BM117" s="179"/>
      <c r="BN117" s="181"/>
      <c r="BO117" s="82"/>
      <c r="BP117" s="82"/>
      <c r="BQ117" s="82"/>
      <c r="BR117" s="83"/>
      <c r="BS117" s="80"/>
      <c r="BT117" s="80"/>
      <c r="BU117" s="80"/>
      <c r="BV117" s="80"/>
      <c r="BW117" s="179"/>
      <c r="BX117" s="81"/>
      <c r="BY117" s="80"/>
      <c r="BZ117" s="80"/>
      <c r="CA117" s="80"/>
      <c r="CB117" s="80"/>
      <c r="CC117" s="80"/>
      <c r="CD117" s="80"/>
      <c r="CE117" s="80"/>
      <c r="CF117" s="80"/>
      <c r="CG117" s="92"/>
      <c r="CI117" s="135">
        <f>$X$22</f>
        <v>16</v>
      </c>
      <c r="CJ117" s="135" t="str">
        <f t="shared" si="0"/>
        <v>Iniciados</v>
      </c>
      <c r="CK117" s="135" t="str">
        <f t="shared" si="1"/>
        <v>Singulares</v>
      </c>
      <c r="CL117" s="135" t="str">
        <f t="shared" si="2"/>
        <v>Masculinos</v>
      </c>
      <c r="CM117" s="135" t="str">
        <f>$X$5</f>
        <v>Grupo D</v>
      </c>
      <c r="CN117" s="135" t="str">
        <f>$Y$22</f>
        <v>D1</v>
      </c>
      <c r="CO117" s="135" t="str">
        <f>$Y$23</f>
        <v>D2</v>
      </c>
    </row>
    <row r="118" spans="52:93" ht="15" customHeight="1">
      <c r="AZ118" s="88"/>
      <c r="BA118" s="346" t="str">
        <f>IF($BA$107="","",$BA$107)</f>
        <v>A4</v>
      </c>
      <c r="BB118" s="347"/>
      <c r="BC118" s="74"/>
      <c r="BD118" s="75"/>
      <c r="BE118" s="75"/>
      <c r="BF118" s="75"/>
      <c r="BG118" s="75"/>
      <c r="BH118" s="75"/>
      <c r="BI118" s="75"/>
      <c r="BJ118" s="75"/>
      <c r="BK118" s="75"/>
      <c r="BL118" s="76"/>
      <c r="BM118" s="178"/>
      <c r="BN118" s="180"/>
      <c r="BO118" s="77"/>
      <c r="BP118" s="77"/>
      <c r="BQ118" s="77"/>
      <c r="BR118" s="78"/>
      <c r="BS118" s="75"/>
      <c r="BT118" s="75"/>
      <c r="BU118" s="75"/>
      <c r="BV118" s="75"/>
      <c r="BW118" s="178"/>
      <c r="BX118" s="76"/>
      <c r="BY118" s="75"/>
      <c r="BZ118" s="75"/>
      <c r="CA118" s="75"/>
      <c r="CB118" s="75"/>
      <c r="CC118" s="75"/>
      <c r="CD118" s="75"/>
      <c r="CE118" s="75"/>
      <c r="CF118" s="75"/>
      <c r="CG118" s="98" t="s">
        <v>2</v>
      </c>
      <c r="CI118" s="135">
        <f>$C$24</f>
        <v>17</v>
      </c>
      <c r="CJ118" s="135" t="str">
        <f t="shared" si="0"/>
        <v>Iniciados</v>
      </c>
      <c r="CK118" s="135" t="str">
        <f t="shared" si="1"/>
        <v>Singulares</v>
      </c>
      <c r="CL118" s="135" t="str">
        <f t="shared" si="2"/>
        <v>Masculinos</v>
      </c>
      <c r="CM118" s="135" t="str">
        <f>$C$5</f>
        <v>Grupo A</v>
      </c>
      <c r="CN118" s="135" t="str">
        <f>$D$24</f>
        <v>A2</v>
      </c>
      <c r="CO118" s="135" t="str">
        <f>$D$25</f>
        <v>A4</v>
      </c>
    </row>
    <row r="119" spans="52:93" ht="15" customHeight="1">
      <c r="AZ119" s="88"/>
      <c r="BA119" s="348"/>
      <c r="BB119" s="349"/>
      <c r="BC119" s="79"/>
      <c r="BD119" s="80"/>
      <c r="BE119" s="80"/>
      <c r="BF119" s="80"/>
      <c r="BG119" s="80"/>
      <c r="BH119" s="80"/>
      <c r="BI119" s="80"/>
      <c r="BJ119" s="80"/>
      <c r="BK119" s="80"/>
      <c r="BL119" s="81"/>
      <c r="BM119" s="179"/>
      <c r="BN119" s="181"/>
      <c r="BO119" s="82"/>
      <c r="BP119" s="82"/>
      <c r="BQ119" s="82"/>
      <c r="BR119" s="83"/>
      <c r="BS119" s="80"/>
      <c r="BT119" s="80"/>
      <c r="BU119" s="80"/>
      <c r="BV119" s="80"/>
      <c r="BW119" s="179"/>
      <c r="BX119" s="81"/>
      <c r="BY119" s="80"/>
      <c r="BZ119" s="80"/>
      <c r="CA119" s="80"/>
      <c r="CB119" s="80"/>
      <c r="CC119" s="80"/>
      <c r="CD119" s="80"/>
      <c r="CE119" s="80"/>
      <c r="CF119" s="80"/>
      <c r="CG119" s="92"/>
      <c r="CI119" s="135">
        <f>$C$26</f>
        <v>18</v>
      </c>
      <c r="CJ119" s="135" t="str">
        <f t="shared" si="0"/>
        <v>Iniciados</v>
      </c>
      <c r="CK119" s="135" t="str">
        <f t="shared" si="1"/>
        <v>Singulares</v>
      </c>
      <c r="CL119" s="135" t="str">
        <f t="shared" si="2"/>
        <v>Masculinos</v>
      </c>
      <c r="CM119" s="135" t="str">
        <f>$C$5</f>
        <v>Grupo A</v>
      </c>
      <c r="CN119" s="135" t="str">
        <f>$D$26</f>
        <v>A3</v>
      </c>
      <c r="CO119" s="135" t="str">
        <f>$D$27</f>
        <v>Manuel Pinto (AE Sertã)</v>
      </c>
    </row>
    <row r="120" spans="52:93" ht="12.75" customHeight="1">
      <c r="AZ120" s="88"/>
      <c r="BA120" s="84"/>
      <c r="BB120" s="84"/>
      <c r="BC120" s="100">
        <v>1</v>
      </c>
      <c r="BD120" s="100">
        <v>2</v>
      </c>
      <c r="BE120" s="100">
        <v>3</v>
      </c>
      <c r="BF120" s="100">
        <v>4</v>
      </c>
      <c r="BG120" s="100">
        <v>5</v>
      </c>
      <c r="BH120" s="100">
        <v>6</v>
      </c>
      <c r="BI120" s="100">
        <v>7</v>
      </c>
      <c r="BJ120" s="100">
        <v>8</v>
      </c>
      <c r="BK120" s="100">
        <v>9</v>
      </c>
      <c r="BL120" s="100">
        <v>10</v>
      </c>
      <c r="BM120" s="100">
        <v>11</v>
      </c>
      <c r="BN120" s="100">
        <v>12</v>
      </c>
      <c r="BO120" s="100">
        <v>13</v>
      </c>
      <c r="BP120" s="100">
        <v>14</v>
      </c>
      <c r="BQ120" s="100">
        <v>15</v>
      </c>
      <c r="BR120" s="100">
        <v>16</v>
      </c>
      <c r="BS120" s="100">
        <v>17</v>
      </c>
      <c r="BT120" s="100">
        <v>18</v>
      </c>
      <c r="BU120" s="100">
        <v>19</v>
      </c>
      <c r="BV120" s="100">
        <v>20</v>
      </c>
      <c r="BW120" s="100">
        <v>21</v>
      </c>
      <c r="BX120" s="100">
        <v>22</v>
      </c>
      <c r="BY120" s="100">
        <v>23</v>
      </c>
      <c r="BZ120" s="100">
        <v>24</v>
      </c>
      <c r="CA120" s="100">
        <v>25</v>
      </c>
      <c r="CB120" s="100">
        <v>26</v>
      </c>
      <c r="CC120" s="100">
        <v>27</v>
      </c>
      <c r="CD120" s="100">
        <v>28</v>
      </c>
      <c r="CE120" s="100">
        <v>29</v>
      </c>
      <c r="CF120" s="100">
        <v>30</v>
      </c>
      <c r="CG120" s="101"/>
      <c r="CI120" s="135">
        <f>$J$24</f>
        <v>19</v>
      </c>
      <c r="CJ120" s="135" t="str">
        <f t="shared" si="0"/>
        <v>Iniciados</v>
      </c>
      <c r="CK120" s="135" t="str">
        <f t="shared" si="1"/>
        <v>Singulares</v>
      </c>
      <c r="CL120" s="135" t="str">
        <f t="shared" si="2"/>
        <v>Masculinos</v>
      </c>
      <c r="CM120" s="135" t="str">
        <f>$J$5</f>
        <v>Grupo B</v>
      </c>
      <c r="CN120" s="135" t="str">
        <f>$K$24</f>
        <v>B2</v>
      </c>
      <c r="CO120" s="135" t="str">
        <f>$K$25</f>
        <v>B4</v>
      </c>
    </row>
    <row r="121" spans="52:93" ht="15" customHeight="1">
      <c r="AZ121" s="88"/>
      <c r="BA121" s="346" t="str">
        <f>IF($BA$105="","",$BA$105)</f>
        <v>Manuel Pinto (AE Sertã)</v>
      </c>
      <c r="BB121" s="347"/>
      <c r="BC121" s="74"/>
      <c r="BD121" s="75"/>
      <c r="BE121" s="75"/>
      <c r="BF121" s="75"/>
      <c r="BG121" s="75"/>
      <c r="BH121" s="75"/>
      <c r="BI121" s="75"/>
      <c r="BJ121" s="75"/>
      <c r="BK121" s="75"/>
      <c r="BL121" s="76"/>
      <c r="BM121" s="178"/>
      <c r="BN121" s="180"/>
      <c r="BO121" s="77"/>
      <c r="BP121" s="77"/>
      <c r="BQ121" s="77"/>
      <c r="BR121" s="78"/>
      <c r="BS121" s="75"/>
      <c r="BT121" s="75"/>
      <c r="BU121" s="75"/>
      <c r="BV121" s="75"/>
      <c r="BW121" s="178"/>
      <c r="BX121" s="76"/>
      <c r="BY121" s="75"/>
      <c r="BZ121" s="75"/>
      <c r="CA121" s="75"/>
      <c r="CB121" s="75"/>
      <c r="CC121" s="75"/>
      <c r="CD121" s="75"/>
      <c r="CE121" s="75"/>
      <c r="CF121" s="75"/>
      <c r="CG121" s="92"/>
      <c r="CI121" s="135">
        <f>$J$26</f>
        <v>20</v>
      </c>
      <c r="CJ121" s="135" t="str">
        <f t="shared" si="0"/>
        <v>Iniciados</v>
      </c>
      <c r="CK121" s="135" t="str">
        <f t="shared" si="1"/>
        <v>Singulares</v>
      </c>
      <c r="CL121" s="135" t="str">
        <f t="shared" si="2"/>
        <v>Masculinos</v>
      </c>
      <c r="CM121" s="135" t="str">
        <f>$J$5</f>
        <v>Grupo B</v>
      </c>
      <c r="CN121" s="135" t="str">
        <f>$K$26</f>
        <v>B3</v>
      </c>
      <c r="CO121" s="135" t="str">
        <f>$K$27</f>
        <v>B1</v>
      </c>
    </row>
    <row r="122" spans="52:93" ht="15" customHeight="1">
      <c r="AZ122" s="88"/>
      <c r="BA122" s="348"/>
      <c r="BB122" s="349"/>
      <c r="BC122" s="79"/>
      <c r="BD122" s="80"/>
      <c r="BE122" s="80"/>
      <c r="BF122" s="80"/>
      <c r="BG122" s="80"/>
      <c r="BH122" s="80"/>
      <c r="BI122" s="80"/>
      <c r="BJ122" s="80"/>
      <c r="BK122" s="80"/>
      <c r="BL122" s="81"/>
      <c r="BM122" s="179"/>
      <c r="BN122" s="181"/>
      <c r="BO122" s="82"/>
      <c r="BP122" s="82"/>
      <c r="BQ122" s="82"/>
      <c r="BR122" s="83"/>
      <c r="BS122" s="80"/>
      <c r="BT122" s="80"/>
      <c r="BU122" s="80"/>
      <c r="BV122" s="80"/>
      <c r="BW122" s="179"/>
      <c r="BX122" s="81"/>
      <c r="BY122" s="80"/>
      <c r="BZ122" s="80"/>
      <c r="CA122" s="80"/>
      <c r="CB122" s="80"/>
      <c r="CC122" s="80"/>
      <c r="CD122" s="80"/>
      <c r="CE122" s="80"/>
      <c r="CF122" s="80"/>
      <c r="CG122" s="92"/>
      <c r="CI122" s="135">
        <f>$Q$24</f>
        <v>21</v>
      </c>
      <c r="CJ122" s="135" t="str">
        <f t="shared" si="0"/>
        <v>Iniciados</v>
      </c>
      <c r="CK122" s="135" t="str">
        <f t="shared" si="1"/>
        <v>Singulares</v>
      </c>
      <c r="CL122" s="135" t="str">
        <f t="shared" si="2"/>
        <v>Masculinos</v>
      </c>
      <c r="CM122" s="135" t="str">
        <f>$Q$5</f>
        <v>Grupo C</v>
      </c>
      <c r="CN122" s="135" t="str">
        <f>$R$24</f>
        <v>C2</v>
      </c>
      <c r="CO122" s="135" t="str">
        <f>$R$25</f>
        <v>C4</v>
      </c>
    </row>
    <row r="123" spans="52:93" ht="15" customHeight="1">
      <c r="AZ123" s="88"/>
      <c r="BA123" s="346" t="str">
        <f>IF($BA$107="","",$BA$107)</f>
        <v>A4</v>
      </c>
      <c r="BB123" s="347"/>
      <c r="BC123" s="74"/>
      <c r="BD123" s="75"/>
      <c r="BE123" s="75"/>
      <c r="BF123" s="75"/>
      <c r="BG123" s="75"/>
      <c r="BH123" s="75"/>
      <c r="BI123" s="75"/>
      <c r="BJ123" s="75"/>
      <c r="BK123" s="75"/>
      <c r="BL123" s="76"/>
      <c r="BM123" s="178"/>
      <c r="BN123" s="180"/>
      <c r="BO123" s="77"/>
      <c r="BP123" s="77"/>
      <c r="BQ123" s="77"/>
      <c r="BR123" s="78"/>
      <c r="BS123" s="75"/>
      <c r="BT123" s="75"/>
      <c r="BU123" s="75"/>
      <c r="BV123" s="75"/>
      <c r="BW123" s="178"/>
      <c r="BX123" s="76"/>
      <c r="BY123" s="75"/>
      <c r="BZ123" s="75"/>
      <c r="CA123" s="75"/>
      <c r="CB123" s="75"/>
      <c r="CC123" s="75"/>
      <c r="CD123" s="75"/>
      <c r="CE123" s="75"/>
      <c r="CF123" s="75"/>
      <c r="CG123" s="98" t="s">
        <v>3</v>
      </c>
      <c r="CI123" s="135">
        <f>$Q$26</f>
        <v>22</v>
      </c>
      <c r="CJ123" s="135" t="str">
        <f t="shared" si="0"/>
        <v>Iniciados</v>
      </c>
      <c r="CK123" s="135" t="str">
        <f t="shared" si="1"/>
        <v>Singulares</v>
      </c>
      <c r="CL123" s="135" t="str">
        <f t="shared" si="2"/>
        <v>Masculinos</v>
      </c>
      <c r="CM123" s="135" t="str">
        <f>$Q$5</f>
        <v>Grupo C</v>
      </c>
      <c r="CN123" s="135" t="str">
        <f>$R$26</f>
        <v>C3</v>
      </c>
      <c r="CO123" s="135" t="str">
        <f>$R$27</f>
        <v>C1</v>
      </c>
    </row>
    <row r="124" spans="52:93" ht="15" customHeight="1">
      <c r="AZ124" s="88"/>
      <c r="BA124" s="348"/>
      <c r="BB124" s="349"/>
      <c r="BC124" s="79"/>
      <c r="BD124" s="80"/>
      <c r="BE124" s="80"/>
      <c r="BF124" s="80"/>
      <c r="BG124" s="80"/>
      <c r="BH124" s="80"/>
      <c r="BI124" s="80"/>
      <c r="BJ124" s="80"/>
      <c r="BK124" s="80"/>
      <c r="BL124" s="81"/>
      <c r="BM124" s="179"/>
      <c r="BN124" s="181"/>
      <c r="BO124" s="82"/>
      <c r="BP124" s="82"/>
      <c r="BQ124" s="82"/>
      <c r="BR124" s="83"/>
      <c r="BS124" s="80"/>
      <c r="BT124" s="80"/>
      <c r="BU124" s="80"/>
      <c r="BV124" s="80"/>
      <c r="BW124" s="179"/>
      <c r="BX124" s="81"/>
      <c r="BY124" s="80"/>
      <c r="BZ124" s="80"/>
      <c r="CA124" s="80"/>
      <c r="CB124" s="80"/>
      <c r="CC124" s="80"/>
      <c r="CD124" s="80"/>
      <c r="CE124" s="80"/>
      <c r="CF124" s="80"/>
      <c r="CG124" s="92"/>
      <c r="CI124" s="135">
        <f>$X$24</f>
        <v>23</v>
      </c>
      <c r="CJ124" s="135" t="str">
        <f t="shared" si="0"/>
        <v>Iniciados</v>
      </c>
      <c r="CK124" s="135" t="str">
        <f t="shared" si="1"/>
        <v>Singulares</v>
      </c>
      <c r="CL124" s="135" t="str">
        <f t="shared" si="2"/>
        <v>Masculinos</v>
      </c>
      <c r="CM124" s="135" t="str">
        <f>$X$5</f>
        <v>Grupo D</v>
      </c>
      <c r="CN124" s="135" t="str">
        <f>$Y$24</f>
        <v>D2</v>
      </c>
      <c r="CO124" s="135" t="str">
        <f>$Y$25</f>
        <v>D4</v>
      </c>
    </row>
    <row r="125" spans="52:93" ht="44.25" customHeight="1">
      <c r="AZ125" s="102"/>
      <c r="BA125" s="103" t="s">
        <v>35</v>
      </c>
      <c r="BB125" s="104"/>
      <c r="BC125" s="105"/>
      <c r="BD125" s="105"/>
      <c r="BE125" s="105"/>
      <c r="BF125" s="105"/>
      <c r="BG125" s="105"/>
      <c r="BH125" s="105"/>
      <c r="BI125" s="105"/>
      <c r="BJ125" s="105"/>
      <c r="BK125" s="105"/>
      <c r="BL125" s="105"/>
      <c r="BM125" s="105"/>
      <c r="BN125" s="105"/>
      <c r="BO125" s="105"/>
      <c r="BP125" s="105"/>
      <c r="BQ125" s="105"/>
      <c r="BR125" s="85"/>
      <c r="BS125" s="85"/>
      <c r="BT125" s="85"/>
      <c r="BU125" s="85"/>
      <c r="BV125" s="85"/>
      <c r="BW125" s="85"/>
      <c r="BX125" s="85"/>
      <c r="BY125" s="85"/>
      <c r="BZ125" s="85"/>
      <c r="CA125" s="85"/>
      <c r="CB125" s="85"/>
      <c r="CC125" s="85"/>
      <c r="CD125" s="85"/>
      <c r="CE125" s="85"/>
      <c r="CF125" s="85"/>
      <c r="CG125" s="81"/>
      <c r="CI125" s="135">
        <f>$X$26</f>
        <v>24</v>
      </c>
      <c r="CJ125" s="135" t="str">
        <f t="shared" si="0"/>
        <v>Iniciados</v>
      </c>
      <c r="CK125" s="135" t="str">
        <f t="shared" si="1"/>
        <v>Singulares</v>
      </c>
      <c r="CL125" s="135" t="str">
        <f t="shared" si="2"/>
        <v>Masculinos</v>
      </c>
      <c r="CM125" s="135" t="str">
        <f>$X$5</f>
        <v>Grupo D</v>
      </c>
      <c r="CN125" s="135" t="str">
        <f>$Y$26</f>
        <v>D3</v>
      </c>
      <c r="CO125" s="135" t="str">
        <f>$Y$27</f>
        <v>D1</v>
      </c>
    </row>
    <row r="126" spans="52:93" ht="185.25" customHeight="1">
      <c r="AZ126" s="366" t="s">
        <v>412</v>
      </c>
      <c r="BA126" s="366"/>
      <c r="BB126" s="366"/>
      <c r="BC126" s="366"/>
      <c r="BD126" s="366"/>
      <c r="BE126" s="366"/>
      <c r="BF126" s="366"/>
      <c r="BG126" s="366"/>
      <c r="BH126" s="366"/>
      <c r="BI126" s="366"/>
      <c r="BJ126" s="366"/>
      <c r="BK126" s="366"/>
      <c r="BL126" s="366"/>
      <c r="BM126" s="366"/>
      <c r="BN126" s="366"/>
      <c r="BO126" s="366"/>
      <c r="BP126" s="366"/>
      <c r="BQ126" s="366"/>
      <c r="BR126" s="366"/>
      <c r="BS126" s="366"/>
      <c r="BT126" s="366"/>
      <c r="BU126" s="366"/>
      <c r="BV126" s="366"/>
      <c r="BW126" s="366"/>
      <c r="BX126" s="366"/>
      <c r="BY126" s="366"/>
      <c r="BZ126" s="366"/>
      <c r="CA126" s="366"/>
      <c r="CB126" s="366"/>
      <c r="CC126" s="366"/>
      <c r="CD126" s="366"/>
      <c r="CE126" s="366"/>
      <c r="CF126" s="366"/>
      <c r="CG126" s="366"/>
      <c r="CI126" s="135">
        <f>$H$31</f>
        <v>25</v>
      </c>
      <c r="CJ126" s="135" t="str">
        <f t="shared" si="0"/>
        <v>Iniciados</v>
      </c>
      <c r="CK126" s="135" t="str">
        <f t="shared" si="1"/>
        <v>Singulares</v>
      </c>
      <c r="CL126" s="135" t="str">
        <f t="shared" si="2"/>
        <v>Masculinos</v>
      </c>
      <c r="CM126" s="135" t="str">
        <f>"1º Jogo dos 1/4 final"</f>
        <v>1º Jogo dos 1/4 final</v>
      </c>
      <c r="CN126" s="135" t="str">
        <f>$C$30</f>
        <v>Manuel Pinto (AE Sertã)</v>
      </c>
      <c r="CO126" s="135" t="str">
        <f>$C$32</f>
        <v>2º do grupo B</v>
      </c>
    </row>
    <row r="127" spans="52:93" ht="38.25" customHeight="1">
      <c r="AZ127" s="87"/>
      <c r="BA127" s="367" t="str">
        <f>IF(BB128="","",CONCATENATE(VLOOKUP(BB128,$CI$102:$CO$145,2,FALSE),"  -  ",VLOOKUP(BB128,$CI$102:$CO$145,3,FALSE),,"  -  ",VLOOKUP(BB128,$CI$102:$CO$145,4,FALSE),"  -  ",VLOOKUP(BB128,$CI$102:$CO$145,5,FALSE)))</f>
        <v>Iniciados  -  Singulares  -  Masculinos  -  Grupo B</v>
      </c>
      <c r="BB127" s="367"/>
      <c r="BC127" s="367"/>
      <c r="BD127" s="367"/>
      <c r="BE127" s="367"/>
      <c r="BF127" s="367"/>
      <c r="BG127" s="367"/>
      <c r="BH127" s="367"/>
      <c r="BI127" s="367"/>
      <c r="BJ127" s="367"/>
      <c r="BK127" s="367"/>
      <c r="BL127" s="367"/>
      <c r="BM127" s="367"/>
      <c r="BN127" s="86"/>
      <c r="BO127" s="86"/>
      <c r="BP127" s="86"/>
      <c r="BQ127" s="86"/>
      <c r="BR127" s="86"/>
      <c r="BS127" s="86"/>
      <c r="BT127" s="86"/>
      <c r="BU127" s="86"/>
      <c r="BV127" s="86"/>
      <c r="BW127" s="86"/>
      <c r="BX127" s="86"/>
      <c r="BY127" s="86"/>
      <c r="BZ127" s="86"/>
      <c r="CA127" s="86"/>
      <c r="CB127" s="86"/>
      <c r="CC127" s="86"/>
      <c r="CD127" s="86"/>
      <c r="CE127" s="86"/>
      <c r="CF127" s="86"/>
      <c r="CG127" s="76"/>
      <c r="CI127" s="135">
        <f>$H$35</f>
        <v>26</v>
      </c>
      <c r="CJ127" s="135" t="str">
        <f t="shared" si="0"/>
        <v>Iniciados</v>
      </c>
      <c r="CK127" s="135" t="str">
        <f t="shared" si="1"/>
        <v>Singulares</v>
      </c>
      <c r="CL127" s="135" t="str">
        <f t="shared" si="2"/>
        <v>Masculinos</v>
      </c>
      <c r="CM127" s="135" t="str">
        <f>"2º Jogo dos 1/4 final"</f>
        <v>2º Jogo dos 1/4 final</v>
      </c>
      <c r="CN127" s="135" t="str">
        <f>$C$34</f>
        <v>2º do grupo D</v>
      </c>
      <c r="CO127" s="135" t="str">
        <f>$C$36</f>
        <v>1º do grupo C</v>
      </c>
    </row>
    <row r="128" spans="52:93" ht="20.25" customHeight="1">
      <c r="AZ128" s="88"/>
      <c r="BA128" s="89" t="s">
        <v>25</v>
      </c>
      <c r="BB128" s="137">
        <f>IF($AI$27="","",$AI$27)</f>
        <v>4</v>
      </c>
      <c r="BC128" s="84"/>
      <c r="BD128" s="84"/>
      <c r="BE128" s="84"/>
      <c r="BF128" s="84"/>
      <c r="BG128" s="84"/>
      <c r="BH128" s="84"/>
      <c r="BI128" s="177" t="s">
        <v>51</v>
      </c>
      <c r="BJ128" s="84"/>
      <c r="BK128" s="84"/>
      <c r="BL128" s="294"/>
      <c r="BM128" s="295"/>
      <c r="BN128" s="90"/>
      <c r="BO128" s="90"/>
      <c r="BP128" s="90"/>
      <c r="BQ128" s="91"/>
      <c r="BR128" s="84"/>
      <c r="BS128" s="84"/>
      <c r="BT128" s="84"/>
      <c r="BU128" s="84"/>
      <c r="BV128" s="84"/>
      <c r="BW128" s="84"/>
      <c r="BX128" s="84"/>
      <c r="BY128" s="84"/>
      <c r="BZ128" s="84"/>
      <c r="CA128" s="84"/>
      <c r="CB128" s="84"/>
      <c r="CC128" s="84"/>
      <c r="CD128" s="84"/>
      <c r="CE128" s="84"/>
      <c r="CF128" s="84"/>
      <c r="CG128" s="92"/>
      <c r="CI128" s="135">
        <f>$H$39</f>
        <v>27</v>
      </c>
      <c r="CJ128" s="135" t="str">
        <f t="shared" si="0"/>
        <v>Iniciados</v>
      </c>
      <c r="CK128" s="135" t="str">
        <f t="shared" si="1"/>
        <v>Singulares</v>
      </c>
      <c r="CL128" s="135" t="str">
        <f t="shared" si="2"/>
        <v>Masculinos</v>
      </c>
      <c r="CM128" s="135" t="str">
        <f>"3º Jogo dos 1/4 final"</f>
        <v>3º Jogo dos 1/4 final</v>
      </c>
      <c r="CN128" s="135" t="str">
        <f>$C$38</f>
        <v>1º do grupo B</v>
      </c>
      <c r="CO128" s="135" t="str">
        <f>$C$40</f>
        <v>A4</v>
      </c>
    </row>
    <row r="129" spans="52:93" ht="7.5" customHeight="1">
      <c r="AZ129" s="88"/>
      <c r="BA129" s="84"/>
      <c r="BB129" s="84"/>
      <c r="BC129" s="84"/>
      <c r="BD129" s="84"/>
      <c r="BE129" s="84"/>
      <c r="BF129" s="84"/>
      <c r="BG129" s="84"/>
      <c r="BH129" s="84"/>
      <c r="BI129" s="84"/>
      <c r="BJ129" s="84"/>
      <c r="BK129" s="84"/>
      <c r="BL129" s="296"/>
      <c r="BM129" s="297"/>
      <c r="BN129" s="84"/>
      <c r="BO129" s="84"/>
      <c r="BP129" s="84"/>
      <c r="BQ129" s="84"/>
      <c r="BR129" s="84"/>
      <c r="BS129" s="84"/>
      <c r="BT129" s="84"/>
      <c r="BU129" s="84"/>
      <c r="BV129" s="84"/>
      <c r="BW129" s="84"/>
      <c r="BX129" s="84"/>
      <c r="BY129" s="84"/>
      <c r="BZ129" s="84"/>
      <c r="CA129" s="84"/>
      <c r="CB129" s="84"/>
      <c r="CC129" s="84"/>
      <c r="CD129" s="84"/>
      <c r="CE129" s="84"/>
      <c r="CF129" s="84"/>
      <c r="CG129" s="92"/>
      <c r="CI129" s="135">
        <f>$H$43</f>
        <v>28</v>
      </c>
      <c r="CJ129" s="135" t="str">
        <f t="shared" si="0"/>
        <v>Iniciados</v>
      </c>
      <c r="CK129" s="135" t="str">
        <f t="shared" si="1"/>
        <v>Singulares</v>
      </c>
      <c r="CL129" s="135" t="str">
        <f t="shared" si="2"/>
        <v>Masculinos</v>
      </c>
      <c r="CM129" s="135" t="str">
        <f>"4º Jogo dos 1/4 final"</f>
        <v>4º Jogo dos 1/4 final</v>
      </c>
      <c r="CN129" s="135" t="str">
        <f>$C$42</f>
        <v>2º do grupo C</v>
      </c>
      <c r="CO129" s="135" t="str">
        <f>$C$44</f>
        <v>1º do grupo D</v>
      </c>
    </row>
    <row r="130" spans="52:93" ht="17.25" customHeight="1" thickBot="1">
      <c r="AZ130" s="88"/>
      <c r="BA130" s="368" t="s">
        <v>34</v>
      </c>
      <c r="BB130" s="368"/>
      <c r="BC130" s="93" t="s">
        <v>20</v>
      </c>
      <c r="BD130" s="93"/>
      <c r="BE130" s="93"/>
      <c r="BF130" s="93" t="s">
        <v>21</v>
      </c>
      <c r="BG130" s="93"/>
      <c r="BH130" s="93"/>
      <c r="BI130" s="93" t="s">
        <v>22</v>
      </c>
      <c r="BJ130" s="93"/>
      <c r="BK130" s="93"/>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92"/>
      <c r="CI130" s="135">
        <f>$O$33</f>
        <v>29</v>
      </c>
      <c r="CJ130" s="135" t="str">
        <f t="shared" si="0"/>
        <v>Iniciados</v>
      </c>
      <c r="CK130" s="135" t="str">
        <f t="shared" si="1"/>
        <v>Singulares</v>
      </c>
      <c r="CL130" s="135" t="str">
        <f t="shared" si="2"/>
        <v>Masculinos</v>
      </c>
      <c r="CM130" s="135" t="str">
        <f>"1ª Meia Final"</f>
        <v>1ª Meia Final</v>
      </c>
      <c r="CN130" s="135" t="str">
        <f>$I$31</f>
        <v>1ª Meia Final-Jogador1</v>
      </c>
      <c r="CO130" s="135" t="str">
        <f>$I$35</f>
        <v>1ª Meia Final-Jogador2</v>
      </c>
    </row>
    <row r="131" spans="52:93" ht="19.5" customHeight="1">
      <c r="AZ131" s="88"/>
      <c r="BA131" s="350" t="str">
        <f>IF(BB128="","",VLOOKUP(BB128,$CI$102:$CO$145,6,FALSE))</f>
        <v>B2</v>
      </c>
      <c r="BB131" s="351"/>
      <c r="BC131" s="354"/>
      <c r="BD131" s="355"/>
      <c r="BE131" s="356"/>
      <c r="BF131" s="354"/>
      <c r="BG131" s="355"/>
      <c r="BH131" s="356"/>
      <c r="BI131" s="354"/>
      <c r="BJ131" s="355"/>
      <c r="BK131" s="356"/>
      <c r="BL131" s="72"/>
      <c r="BM131" s="72"/>
      <c r="BN131" s="360"/>
      <c r="BO131" s="360"/>
      <c r="BP131" s="360"/>
      <c r="BQ131" s="94"/>
      <c r="BR131" s="95"/>
      <c r="BS131" s="84"/>
      <c r="BT131" s="84"/>
      <c r="BU131" s="84"/>
      <c r="BV131" s="84"/>
      <c r="BW131" s="84"/>
      <c r="BX131" s="84"/>
      <c r="BY131" s="84"/>
      <c r="BZ131" s="84"/>
      <c r="CA131" s="84"/>
      <c r="CB131" s="84"/>
      <c r="CC131" s="84"/>
      <c r="CD131" s="84"/>
      <c r="CE131" s="84"/>
      <c r="CF131" s="84"/>
      <c r="CG131" s="92"/>
      <c r="CI131" s="135">
        <f>$O$41</f>
        <v>30</v>
      </c>
      <c r="CJ131" s="135" t="str">
        <f t="shared" si="0"/>
        <v>Iniciados</v>
      </c>
      <c r="CK131" s="135" t="str">
        <f t="shared" si="1"/>
        <v>Singulares</v>
      </c>
      <c r="CL131" s="135" t="str">
        <f t="shared" si="2"/>
        <v>Masculinos</v>
      </c>
      <c r="CM131" s="135" t="str">
        <f>"2ª Meia Final"</f>
        <v>2ª Meia Final</v>
      </c>
      <c r="CN131" s="135" t="str">
        <f>$I$39</f>
        <v>2ª Meia Final-Jogador1</v>
      </c>
      <c r="CO131" s="135" t="str">
        <f>$I$43</f>
        <v>2ª Meia Final-Jogador2</v>
      </c>
    </row>
    <row r="132" spans="52:93" ht="19.5" customHeight="1" thickBot="1">
      <c r="AZ132" s="88"/>
      <c r="BA132" s="352"/>
      <c r="BB132" s="353"/>
      <c r="BC132" s="357"/>
      <c r="BD132" s="358"/>
      <c r="BE132" s="359"/>
      <c r="BF132" s="357"/>
      <c r="BG132" s="358"/>
      <c r="BH132" s="359"/>
      <c r="BI132" s="357"/>
      <c r="BJ132" s="358"/>
      <c r="BK132" s="359"/>
      <c r="BL132" s="72"/>
      <c r="BM132" s="72"/>
      <c r="BN132" s="360"/>
      <c r="BO132" s="360"/>
      <c r="BP132" s="360"/>
      <c r="BQ132" s="94"/>
      <c r="BR132" s="95"/>
      <c r="BS132" s="84"/>
      <c r="BT132" s="84"/>
      <c r="BU132" s="84"/>
      <c r="BV132" s="84"/>
      <c r="BW132" s="84"/>
      <c r="BX132" s="84"/>
      <c r="BY132" s="84"/>
      <c r="BZ132" s="84"/>
      <c r="CA132" s="84"/>
      <c r="CB132" s="84"/>
      <c r="CC132" s="84"/>
      <c r="CD132" s="84"/>
      <c r="CE132" s="84"/>
      <c r="CF132" s="84"/>
      <c r="CG132" s="92"/>
      <c r="CI132" s="135">
        <f>$V$37</f>
        <v>31</v>
      </c>
      <c r="CJ132" s="135" t="str">
        <f t="shared" si="0"/>
        <v>Iniciados</v>
      </c>
      <c r="CK132" s="135" t="str">
        <f t="shared" si="1"/>
        <v>Singulares</v>
      </c>
      <c r="CL132" s="135" t="str">
        <f t="shared" si="2"/>
        <v>Masculinos</v>
      </c>
      <c r="CM132" s="135" t="str">
        <f>"Jogo 3º/4º lugar"</f>
        <v>Jogo 3º/4º lugar</v>
      </c>
      <c r="CN132" s="135" t="str">
        <f>$P$35</f>
        <v>Disputa 3º/4º  Jogador1</v>
      </c>
      <c r="CO132" s="135" t="str">
        <f>$P$39</f>
        <v>Disputa 3º/4º  Jogador2</v>
      </c>
    </row>
    <row r="133" spans="52:93" ht="19.5" customHeight="1">
      <c r="AZ133" s="88"/>
      <c r="BA133" s="350" t="str">
        <f>IF(BB128="","",VLOOKUP(BB128,$CI$102:$CO$145,7,FALSE))</f>
        <v>B3</v>
      </c>
      <c r="BB133" s="351"/>
      <c r="BC133" s="354"/>
      <c r="BD133" s="355"/>
      <c r="BE133" s="356"/>
      <c r="BF133" s="354"/>
      <c r="BG133" s="355"/>
      <c r="BH133" s="356"/>
      <c r="BI133" s="354"/>
      <c r="BJ133" s="355"/>
      <c r="BK133" s="356"/>
      <c r="BL133" s="72"/>
      <c r="BM133" s="72"/>
      <c r="BN133" s="360"/>
      <c r="BO133" s="360"/>
      <c r="BP133" s="360"/>
      <c r="BQ133" s="94"/>
      <c r="BR133" s="95"/>
      <c r="BS133" s="84"/>
      <c r="BT133" s="84"/>
      <c r="BU133" s="84"/>
      <c r="BV133" s="84"/>
      <c r="BW133" s="84"/>
      <c r="BX133" s="84"/>
      <c r="BY133" s="84"/>
      <c r="BZ133" s="84"/>
      <c r="CA133" s="84"/>
      <c r="CB133" s="84"/>
      <c r="CC133" s="84"/>
      <c r="CD133" s="84"/>
      <c r="CE133" s="84"/>
      <c r="CF133" s="84"/>
      <c r="CG133" s="92"/>
      <c r="CI133" s="136">
        <f>$W$37</f>
        <v>32</v>
      </c>
      <c r="CJ133" s="136" t="str">
        <f t="shared" si="0"/>
        <v>Iniciados</v>
      </c>
      <c r="CK133" s="136" t="str">
        <f t="shared" si="1"/>
        <v>Singulares</v>
      </c>
      <c r="CL133" s="136" t="str">
        <f t="shared" si="2"/>
        <v>Masculinos</v>
      </c>
      <c r="CM133" s="136" t="str">
        <f>"Final"</f>
        <v>Final</v>
      </c>
      <c r="CN133" s="136" t="str">
        <f>$P$33</f>
        <v>Final-Jogador1</v>
      </c>
      <c r="CO133" s="136" t="str">
        <f>$P$41</f>
        <v>Final-Jogador2</v>
      </c>
    </row>
    <row r="134" spans="52:93" ht="19.5" customHeight="1" thickBot="1">
      <c r="AZ134" s="88"/>
      <c r="BA134" s="352"/>
      <c r="BB134" s="353"/>
      <c r="BC134" s="357"/>
      <c r="BD134" s="358"/>
      <c r="BE134" s="359"/>
      <c r="BF134" s="357"/>
      <c r="BG134" s="358"/>
      <c r="BH134" s="359"/>
      <c r="BI134" s="357"/>
      <c r="BJ134" s="358"/>
      <c r="BK134" s="359"/>
      <c r="BL134" s="72"/>
      <c r="BM134" s="72"/>
      <c r="BN134" s="360"/>
      <c r="BO134" s="360"/>
      <c r="BP134" s="360"/>
      <c r="BQ134" s="96"/>
      <c r="BR134" s="95"/>
      <c r="BS134" s="84"/>
      <c r="BT134" s="84"/>
      <c r="BU134" s="84"/>
      <c r="BV134" s="84"/>
      <c r="BW134" s="84"/>
      <c r="BX134" s="84"/>
      <c r="BY134" s="84"/>
      <c r="BZ134" s="84"/>
      <c r="CA134" s="84"/>
      <c r="CB134" s="84"/>
      <c r="CC134" s="84"/>
      <c r="CD134" s="84"/>
      <c r="CE134" s="84"/>
      <c r="CF134" s="84"/>
      <c r="CG134" s="92"/>
      <c r="CI134" s="135">
        <f>$O$52</f>
        <v>33</v>
      </c>
      <c r="CJ134" s="135" t="str">
        <f t="shared" si="0"/>
        <v>Iniciados</v>
      </c>
      <c r="CK134" s="135" t="str">
        <f t="shared" si="1"/>
        <v>Singulares</v>
      </c>
      <c r="CL134" s="135" t="str">
        <f t="shared" si="2"/>
        <v>Masculinos</v>
      </c>
      <c r="CM134" s="135" t="str">
        <f>"Disp 5º-8º - Jogo1"</f>
        <v>Disp 5º-8º - Jogo1</v>
      </c>
      <c r="CN134" s="135" t="str">
        <f>$I$50</f>
        <v>Vencido do jogo 25</v>
      </c>
      <c r="CO134" s="135" t="str">
        <f>$I$54</f>
        <v>Vencido do jogo 26</v>
      </c>
    </row>
    <row r="135" spans="52:93" ht="22.5" customHeight="1" thickBot="1">
      <c r="AZ135" s="88"/>
      <c r="BA135" s="97" t="s">
        <v>23</v>
      </c>
      <c r="BB135" s="361"/>
      <c r="BC135" s="362"/>
      <c r="BD135" s="362"/>
      <c r="BE135" s="362"/>
      <c r="BF135" s="363"/>
      <c r="BG135" s="363"/>
      <c r="BH135" s="363"/>
      <c r="BI135" s="363"/>
      <c r="BJ135" s="363"/>
      <c r="BK135" s="363"/>
      <c r="BL135" s="364"/>
      <c r="BM135" s="365"/>
      <c r="BN135" s="365"/>
      <c r="BO135" s="365"/>
      <c r="BP135" s="365"/>
      <c r="BQ135" s="95"/>
      <c r="BR135" s="95"/>
      <c r="BS135" s="84"/>
      <c r="BT135" s="84"/>
      <c r="BU135" s="84"/>
      <c r="BV135" s="84"/>
      <c r="BW135" s="84"/>
      <c r="BX135" s="84"/>
      <c r="BY135" s="84"/>
      <c r="BZ135" s="84"/>
      <c r="CA135" s="84"/>
      <c r="CB135" s="84"/>
      <c r="CC135" s="84"/>
      <c r="CD135" s="84"/>
      <c r="CE135" s="84"/>
      <c r="CF135" s="84"/>
      <c r="CG135" s="92"/>
      <c r="CI135" s="135">
        <f>$O$60</f>
        <v>34</v>
      </c>
      <c r="CJ135" s="135" t="str">
        <f t="shared" si="0"/>
        <v>Iniciados</v>
      </c>
      <c r="CK135" s="135" t="str">
        <f t="shared" si="1"/>
        <v>Singulares</v>
      </c>
      <c r="CL135" s="135" t="str">
        <f t="shared" si="2"/>
        <v>Masculinos</v>
      </c>
      <c r="CM135" s="135" t="str">
        <f>"Disp 5º-8º - Jogo2"</f>
        <v>Disp 5º-8º - Jogo2</v>
      </c>
      <c r="CN135" s="135" t="str">
        <f>$I$58</f>
        <v>Vencido do jogo 27</v>
      </c>
      <c r="CO135" s="135" t="str">
        <f>$I$62</f>
        <v>Vencido do jogo 28</v>
      </c>
    </row>
    <row r="136" spans="52:93" ht="18.75" customHeight="1">
      <c r="AZ136" s="88"/>
      <c r="BA136" s="73" t="s">
        <v>34</v>
      </c>
      <c r="BB136" s="73"/>
      <c r="BC136" s="73"/>
      <c r="BD136" s="73"/>
      <c r="BE136" s="73"/>
      <c r="BF136" s="73"/>
      <c r="BG136" s="73"/>
      <c r="BH136" s="93"/>
      <c r="BI136" s="93"/>
      <c r="BJ136" s="93"/>
      <c r="BK136" s="93"/>
      <c r="BL136" s="93"/>
      <c r="BM136" s="93"/>
      <c r="BN136" s="93"/>
      <c r="BO136" s="93"/>
      <c r="BP136" s="93"/>
      <c r="BQ136" s="93"/>
      <c r="BR136" s="84"/>
      <c r="BS136" s="84"/>
      <c r="BT136" s="84"/>
      <c r="BU136" s="84"/>
      <c r="BV136" s="84"/>
      <c r="BW136" s="84"/>
      <c r="BX136" s="84"/>
      <c r="BY136" s="84"/>
      <c r="BZ136" s="84"/>
      <c r="CA136" s="84"/>
      <c r="CB136" s="84"/>
      <c r="CC136" s="84"/>
      <c r="CD136" s="84"/>
      <c r="CE136" s="84"/>
      <c r="CF136" s="84"/>
      <c r="CG136" s="92"/>
      <c r="CI136" s="135">
        <f>$V$56</f>
        <v>35</v>
      </c>
      <c r="CJ136" s="135" t="str">
        <f t="shared" si="0"/>
        <v>Iniciados</v>
      </c>
      <c r="CK136" s="135" t="str">
        <f t="shared" si="1"/>
        <v>Singulares</v>
      </c>
      <c r="CL136" s="135" t="str">
        <f t="shared" si="2"/>
        <v>Masculinos</v>
      </c>
      <c r="CM136" s="135" t="str">
        <f>"Jogo 7º/8º lugar"</f>
        <v>Jogo 7º/8º lugar</v>
      </c>
      <c r="CN136" s="135" t="str">
        <f>$P$54</f>
        <v>Disputa 7º/8º  Jogador1</v>
      </c>
      <c r="CO136" s="135" t="str">
        <f>$P$58</f>
        <v>Disputa 7º/8º  Jogador2</v>
      </c>
    </row>
    <row r="137" spans="52:93" ht="15" customHeight="1">
      <c r="AZ137" s="88"/>
      <c r="BA137" s="346" t="str">
        <f>IF($BA$131="","",$BA$131)</f>
        <v>B2</v>
      </c>
      <c r="BB137" s="347"/>
      <c r="BC137" s="74"/>
      <c r="BD137" s="75"/>
      <c r="BE137" s="75"/>
      <c r="BF137" s="75"/>
      <c r="BG137" s="75"/>
      <c r="BH137" s="75"/>
      <c r="BI137" s="75"/>
      <c r="BJ137" s="75"/>
      <c r="BK137" s="75"/>
      <c r="BL137" s="76"/>
      <c r="BM137" s="178"/>
      <c r="BN137" s="180"/>
      <c r="BO137" s="77"/>
      <c r="BP137" s="77"/>
      <c r="BQ137" s="77"/>
      <c r="BR137" s="78"/>
      <c r="BS137" s="75"/>
      <c r="BT137" s="75"/>
      <c r="BU137" s="75"/>
      <c r="BV137" s="75"/>
      <c r="BW137" s="178"/>
      <c r="BX137" s="76"/>
      <c r="BY137" s="75"/>
      <c r="BZ137" s="75"/>
      <c r="CA137" s="75"/>
      <c r="CB137" s="75"/>
      <c r="CC137" s="75"/>
      <c r="CD137" s="75"/>
      <c r="CE137" s="75"/>
      <c r="CF137" s="75"/>
      <c r="CG137" s="92"/>
      <c r="CI137" s="136">
        <f>$W$56</f>
        <v>36</v>
      </c>
      <c r="CJ137" s="136" t="str">
        <f t="shared" si="0"/>
        <v>Iniciados</v>
      </c>
      <c r="CK137" s="136" t="str">
        <f t="shared" si="1"/>
        <v>Singulares</v>
      </c>
      <c r="CL137" s="136" t="str">
        <f t="shared" si="2"/>
        <v>Masculinos</v>
      </c>
      <c r="CM137" s="136" t="str">
        <f>"Jogo 5º/6º lugar"</f>
        <v>Jogo 5º/6º lugar</v>
      </c>
      <c r="CN137" s="136" t="str">
        <f>$P$52</f>
        <v>Disputa 5º/6º Jogador1</v>
      </c>
      <c r="CO137" s="136" t="str">
        <f>$P$60</f>
        <v>Disputa 5º/6º Jogador2</v>
      </c>
    </row>
    <row r="138" spans="52:93" ht="15" customHeight="1">
      <c r="AZ138" s="88"/>
      <c r="BA138" s="348"/>
      <c r="BB138" s="349"/>
      <c r="BC138" s="79"/>
      <c r="BD138" s="80"/>
      <c r="BE138" s="80"/>
      <c r="BF138" s="80"/>
      <c r="BG138" s="80"/>
      <c r="BH138" s="80"/>
      <c r="BI138" s="80"/>
      <c r="BJ138" s="80"/>
      <c r="BK138" s="80"/>
      <c r="BL138" s="81"/>
      <c r="BM138" s="179"/>
      <c r="BN138" s="181"/>
      <c r="BO138" s="82"/>
      <c r="BP138" s="82"/>
      <c r="BQ138" s="82"/>
      <c r="BR138" s="83"/>
      <c r="BS138" s="80"/>
      <c r="BT138" s="80"/>
      <c r="BU138" s="80"/>
      <c r="BV138" s="80"/>
      <c r="BW138" s="179"/>
      <c r="BX138" s="81"/>
      <c r="BY138" s="80"/>
      <c r="BZ138" s="80"/>
      <c r="CA138" s="80"/>
      <c r="CB138" s="80"/>
      <c r="CC138" s="80"/>
      <c r="CD138" s="80"/>
      <c r="CE138" s="80"/>
      <c r="CF138" s="80"/>
      <c r="CG138" s="98" t="s">
        <v>1</v>
      </c>
      <c r="CI138" s="136">
        <f>$O$70</f>
        <v>37</v>
      </c>
      <c r="CJ138" s="136" t="str">
        <f t="shared" si="0"/>
        <v>Iniciados</v>
      </c>
      <c r="CK138" s="136" t="str">
        <f t="shared" si="1"/>
        <v>Singulares</v>
      </c>
      <c r="CL138" s="136" t="str">
        <f t="shared" si="2"/>
        <v>Masculinos</v>
      </c>
      <c r="CM138" s="136" t="str">
        <f>"Disp 9º-12º - Jogo1"</f>
        <v>Disp 9º-12º - Jogo1</v>
      </c>
      <c r="CN138" s="136" t="str">
        <f>$I$68</f>
        <v>3º  do Grupo A</v>
      </c>
      <c r="CO138" s="136" t="str">
        <f>$I$72</f>
        <v>3º  do Grupo B</v>
      </c>
    </row>
    <row r="139" spans="52:93" ht="15" customHeight="1">
      <c r="AZ139" s="88"/>
      <c r="BA139" s="346" t="str">
        <f>IF($BA$133="","",$BA$133)</f>
        <v>B3</v>
      </c>
      <c r="BB139" s="347"/>
      <c r="BC139" s="74"/>
      <c r="BD139" s="75"/>
      <c r="BE139" s="75"/>
      <c r="BF139" s="75"/>
      <c r="BG139" s="75"/>
      <c r="BH139" s="75"/>
      <c r="BI139" s="75"/>
      <c r="BJ139" s="75"/>
      <c r="BK139" s="75"/>
      <c r="BL139" s="76"/>
      <c r="BM139" s="178"/>
      <c r="BN139" s="180"/>
      <c r="BO139" s="77"/>
      <c r="BP139" s="77"/>
      <c r="BQ139" s="77"/>
      <c r="BR139" s="78"/>
      <c r="BS139" s="75"/>
      <c r="BT139" s="75"/>
      <c r="BU139" s="75"/>
      <c r="BV139" s="75"/>
      <c r="BW139" s="178"/>
      <c r="BX139" s="76"/>
      <c r="BY139" s="75"/>
      <c r="BZ139" s="75"/>
      <c r="CA139" s="75"/>
      <c r="CB139" s="75"/>
      <c r="CC139" s="75"/>
      <c r="CD139" s="75"/>
      <c r="CE139" s="75"/>
      <c r="CF139" s="75"/>
      <c r="CG139" s="99"/>
      <c r="CI139" s="136">
        <f>$O$78</f>
        <v>38</v>
      </c>
      <c r="CJ139" s="136" t="str">
        <f t="shared" si="0"/>
        <v>Iniciados</v>
      </c>
      <c r="CK139" s="136" t="str">
        <f t="shared" si="1"/>
        <v>Singulares</v>
      </c>
      <c r="CL139" s="136" t="str">
        <f t="shared" si="2"/>
        <v>Masculinos</v>
      </c>
      <c r="CM139" s="136" t="str">
        <f>"Disp 9º-12º - Jogo2"</f>
        <v>Disp 9º-12º - Jogo2</v>
      </c>
      <c r="CN139" s="136" t="str">
        <f>$I$76</f>
        <v>3º  do Grupo C</v>
      </c>
      <c r="CO139" s="136" t="str">
        <f>$I$80</f>
        <v>3º  do Grupo D</v>
      </c>
    </row>
    <row r="140" spans="52:93" ht="15" customHeight="1">
      <c r="AZ140" s="88"/>
      <c r="BA140" s="348"/>
      <c r="BB140" s="349"/>
      <c r="BC140" s="79"/>
      <c r="BD140" s="80"/>
      <c r="BE140" s="80"/>
      <c r="BF140" s="80"/>
      <c r="BG140" s="80"/>
      <c r="BH140" s="80"/>
      <c r="BI140" s="80"/>
      <c r="BJ140" s="80"/>
      <c r="BK140" s="80"/>
      <c r="BL140" s="81"/>
      <c r="BM140" s="179"/>
      <c r="BN140" s="181"/>
      <c r="BO140" s="82"/>
      <c r="BP140" s="82"/>
      <c r="BQ140" s="82"/>
      <c r="BR140" s="83"/>
      <c r="BS140" s="80"/>
      <c r="BT140" s="80"/>
      <c r="BU140" s="80"/>
      <c r="BV140" s="80"/>
      <c r="BW140" s="179"/>
      <c r="BX140" s="81"/>
      <c r="BY140" s="80"/>
      <c r="BZ140" s="80"/>
      <c r="CA140" s="80"/>
      <c r="CB140" s="80"/>
      <c r="CC140" s="80"/>
      <c r="CD140" s="80"/>
      <c r="CE140" s="80"/>
      <c r="CF140" s="80"/>
      <c r="CG140" s="92"/>
      <c r="CI140" s="136">
        <f>$V$74</f>
        <v>39</v>
      </c>
      <c r="CJ140" s="136" t="str">
        <f t="shared" si="0"/>
        <v>Iniciados</v>
      </c>
      <c r="CK140" s="136" t="str">
        <f t="shared" si="1"/>
        <v>Singulares</v>
      </c>
      <c r="CL140" s="136" t="str">
        <f t="shared" si="2"/>
        <v>Masculinos</v>
      </c>
      <c r="CM140" s="136" t="str">
        <f>"Jogo 11º/12º lugar"</f>
        <v>Jogo 11º/12º lugar</v>
      </c>
      <c r="CN140" s="136" t="str">
        <f>$P$72</f>
        <v>Disputa 11º/12º  Jogador1</v>
      </c>
      <c r="CO140" s="136" t="str">
        <f>$P$76</f>
        <v>Disputa 11º/12º  Jogador2</v>
      </c>
    </row>
    <row r="141" spans="52:93" ht="12.75" customHeight="1">
      <c r="AZ141" s="88"/>
      <c r="BA141" s="84"/>
      <c r="BB141" s="84"/>
      <c r="BC141" s="100">
        <v>1</v>
      </c>
      <c r="BD141" s="100">
        <v>2</v>
      </c>
      <c r="BE141" s="100">
        <v>3</v>
      </c>
      <c r="BF141" s="100">
        <v>4</v>
      </c>
      <c r="BG141" s="100">
        <v>5</v>
      </c>
      <c r="BH141" s="100">
        <v>6</v>
      </c>
      <c r="BI141" s="100">
        <v>7</v>
      </c>
      <c r="BJ141" s="100">
        <v>8</v>
      </c>
      <c r="BK141" s="100">
        <v>9</v>
      </c>
      <c r="BL141" s="100">
        <v>10</v>
      </c>
      <c r="BM141" s="100">
        <v>11</v>
      </c>
      <c r="BN141" s="100">
        <v>12</v>
      </c>
      <c r="BO141" s="100">
        <v>13</v>
      </c>
      <c r="BP141" s="100">
        <v>14</v>
      </c>
      <c r="BQ141" s="100">
        <v>15</v>
      </c>
      <c r="BR141" s="100">
        <v>16</v>
      </c>
      <c r="BS141" s="100">
        <v>17</v>
      </c>
      <c r="BT141" s="100">
        <v>18</v>
      </c>
      <c r="BU141" s="100">
        <v>19</v>
      </c>
      <c r="BV141" s="100">
        <v>20</v>
      </c>
      <c r="BW141" s="100">
        <v>21</v>
      </c>
      <c r="BX141" s="100">
        <v>22</v>
      </c>
      <c r="BY141" s="100">
        <v>23</v>
      </c>
      <c r="BZ141" s="100">
        <v>24</v>
      </c>
      <c r="CA141" s="100">
        <v>25</v>
      </c>
      <c r="CB141" s="100">
        <v>26</v>
      </c>
      <c r="CC141" s="100">
        <v>27</v>
      </c>
      <c r="CD141" s="100">
        <v>28</v>
      </c>
      <c r="CE141" s="100">
        <v>29</v>
      </c>
      <c r="CF141" s="100">
        <v>30</v>
      </c>
      <c r="CG141" s="101"/>
      <c r="CI141" s="136">
        <f>$W$74</f>
        <v>40</v>
      </c>
      <c r="CJ141" s="136" t="str">
        <f t="shared" si="0"/>
        <v>Iniciados</v>
      </c>
      <c r="CK141" s="136" t="str">
        <f t="shared" si="1"/>
        <v>Singulares</v>
      </c>
      <c r="CL141" s="136" t="str">
        <f t="shared" si="2"/>
        <v>Masculinos</v>
      </c>
      <c r="CM141" s="136" t="str">
        <f>"Jogo 9º/10º lugar"</f>
        <v>Jogo 9º/10º lugar</v>
      </c>
      <c r="CN141" s="136" t="str">
        <f>$P$70</f>
        <v>Disputa 9º/10º Jogador1</v>
      </c>
      <c r="CO141" s="136" t="str">
        <f>$P$78</f>
        <v>Disputa 9º/10º Jogador2</v>
      </c>
    </row>
    <row r="142" spans="52:93" ht="15" customHeight="1">
      <c r="AZ142" s="88"/>
      <c r="BA142" s="346" t="str">
        <f>IF($BA$131="","",$BA$131)</f>
        <v>B2</v>
      </c>
      <c r="BB142" s="347"/>
      <c r="BC142" s="74"/>
      <c r="BD142" s="75"/>
      <c r="BE142" s="75"/>
      <c r="BF142" s="75"/>
      <c r="BG142" s="75"/>
      <c r="BH142" s="75"/>
      <c r="BI142" s="75"/>
      <c r="BJ142" s="75"/>
      <c r="BK142" s="75"/>
      <c r="BL142" s="76"/>
      <c r="BM142" s="178"/>
      <c r="BN142" s="180"/>
      <c r="BO142" s="77"/>
      <c r="BP142" s="77"/>
      <c r="BQ142" s="77"/>
      <c r="BR142" s="78"/>
      <c r="BS142" s="75"/>
      <c r="BT142" s="75"/>
      <c r="BU142" s="75"/>
      <c r="BV142" s="75"/>
      <c r="BW142" s="178"/>
      <c r="BX142" s="76"/>
      <c r="BY142" s="75"/>
      <c r="BZ142" s="75"/>
      <c r="CA142" s="75"/>
      <c r="CB142" s="75"/>
      <c r="CC142" s="75"/>
      <c r="CD142" s="75"/>
      <c r="CE142" s="75"/>
      <c r="CF142" s="75"/>
      <c r="CG142" s="92"/>
      <c r="CI142" s="136">
        <f>$O$88</f>
        <v>41</v>
      </c>
      <c r="CJ142" s="136" t="str">
        <f t="shared" si="0"/>
        <v>Iniciados</v>
      </c>
      <c r="CK142" s="136" t="str">
        <f t="shared" si="1"/>
        <v>Singulares</v>
      </c>
      <c r="CL142" s="136" t="str">
        <f t="shared" si="2"/>
        <v>Masculinos</v>
      </c>
      <c r="CM142" s="136" t="str">
        <f>"Disp 13º-16º - Jogo1"</f>
        <v>Disp 13º-16º - Jogo1</v>
      </c>
      <c r="CN142" s="136" t="str">
        <f>$I$86</f>
        <v>4º  do Grupo A</v>
      </c>
      <c r="CO142" s="136" t="str">
        <f>$I$90</f>
        <v>4º  do Grupo B</v>
      </c>
    </row>
    <row r="143" spans="52:93" ht="15" customHeight="1">
      <c r="AZ143" s="88"/>
      <c r="BA143" s="348"/>
      <c r="BB143" s="349"/>
      <c r="BC143" s="79"/>
      <c r="BD143" s="80"/>
      <c r="BE143" s="80"/>
      <c r="BF143" s="80"/>
      <c r="BG143" s="80"/>
      <c r="BH143" s="80"/>
      <c r="BI143" s="80"/>
      <c r="BJ143" s="80"/>
      <c r="BK143" s="80"/>
      <c r="BL143" s="81"/>
      <c r="BM143" s="179"/>
      <c r="BN143" s="181"/>
      <c r="BO143" s="82"/>
      <c r="BP143" s="82"/>
      <c r="BQ143" s="82"/>
      <c r="BR143" s="83"/>
      <c r="BS143" s="80"/>
      <c r="BT143" s="80"/>
      <c r="BU143" s="80"/>
      <c r="BV143" s="80"/>
      <c r="BW143" s="179"/>
      <c r="BX143" s="81"/>
      <c r="BY143" s="80"/>
      <c r="BZ143" s="80"/>
      <c r="CA143" s="80"/>
      <c r="CB143" s="80"/>
      <c r="CC143" s="80"/>
      <c r="CD143" s="80"/>
      <c r="CE143" s="80"/>
      <c r="CF143" s="80"/>
      <c r="CG143" s="92"/>
      <c r="CI143" s="136">
        <f>$O$96</f>
        <v>42</v>
      </c>
      <c r="CJ143" s="136" t="str">
        <f t="shared" si="0"/>
        <v>Iniciados</v>
      </c>
      <c r="CK143" s="136" t="str">
        <f t="shared" si="1"/>
        <v>Singulares</v>
      </c>
      <c r="CL143" s="136" t="str">
        <f t="shared" si="2"/>
        <v>Masculinos</v>
      </c>
      <c r="CM143" s="136" t="str">
        <f>"Disp 13º-16º - Jogo2"</f>
        <v>Disp 13º-16º - Jogo2</v>
      </c>
      <c r="CN143" s="136" t="str">
        <f>$I$94</f>
        <v>4º  do Grupo C</v>
      </c>
      <c r="CO143" s="136" t="str">
        <f>$I$98</f>
        <v>4º  do Grupo D</v>
      </c>
    </row>
    <row r="144" spans="52:93" ht="15" customHeight="1">
      <c r="AZ144" s="88"/>
      <c r="BA144" s="346" t="str">
        <f>IF($BA$133="","",$BA$133)</f>
        <v>B3</v>
      </c>
      <c r="BB144" s="347"/>
      <c r="BC144" s="74"/>
      <c r="BD144" s="75"/>
      <c r="BE144" s="75"/>
      <c r="BF144" s="75"/>
      <c r="BG144" s="75"/>
      <c r="BH144" s="75"/>
      <c r="BI144" s="75"/>
      <c r="BJ144" s="75"/>
      <c r="BK144" s="75"/>
      <c r="BL144" s="76"/>
      <c r="BM144" s="178"/>
      <c r="BN144" s="180"/>
      <c r="BO144" s="77"/>
      <c r="BP144" s="77"/>
      <c r="BQ144" s="77"/>
      <c r="BR144" s="78"/>
      <c r="BS144" s="75"/>
      <c r="BT144" s="75"/>
      <c r="BU144" s="75"/>
      <c r="BV144" s="75"/>
      <c r="BW144" s="178"/>
      <c r="BX144" s="76"/>
      <c r="BY144" s="75"/>
      <c r="BZ144" s="75"/>
      <c r="CA144" s="75"/>
      <c r="CB144" s="75"/>
      <c r="CC144" s="75"/>
      <c r="CD144" s="75"/>
      <c r="CE144" s="75"/>
      <c r="CF144" s="75"/>
      <c r="CG144" s="98" t="s">
        <v>2</v>
      </c>
      <c r="CI144" s="136">
        <f>$V$92</f>
        <v>43</v>
      </c>
      <c r="CJ144" s="136" t="str">
        <f t="shared" si="0"/>
        <v>Iniciados</v>
      </c>
      <c r="CK144" s="136" t="str">
        <f t="shared" si="1"/>
        <v>Singulares</v>
      </c>
      <c r="CL144" s="136" t="str">
        <f t="shared" si="2"/>
        <v>Masculinos</v>
      </c>
      <c r="CM144" s="136" t="str">
        <f>"Jogo 15º/16º lugar"</f>
        <v>Jogo 15º/16º lugar</v>
      </c>
      <c r="CN144" s="136" t="str">
        <f>$P$90</f>
        <v>Disputa 15º/16º  Jogador1</v>
      </c>
      <c r="CO144" s="136" t="str">
        <f>$P$94</f>
        <v>Disputa 15º/16º  Jogador2</v>
      </c>
    </row>
    <row r="145" spans="52:93" ht="15" customHeight="1">
      <c r="AZ145" s="88"/>
      <c r="BA145" s="348"/>
      <c r="BB145" s="349"/>
      <c r="BC145" s="79"/>
      <c r="BD145" s="80"/>
      <c r="BE145" s="80"/>
      <c r="BF145" s="80"/>
      <c r="BG145" s="80"/>
      <c r="BH145" s="80"/>
      <c r="BI145" s="80"/>
      <c r="BJ145" s="80"/>
      <c r="BK145" s="80"/>
      <c r="BL145" s="81"/>
      <c r="BM145" s="179"/>
      <c r="BN145" s="181"/>
      <c r="BO145" s="82"/>
      <c r="BP145" s="82"/>
      <c r="BQ145" s="82"/>
      <c r="BR145" s="83"/>
      <c r="BS145" s="80"/>
      <c r="BT145" s="80"/>
      <c r="BU145" s="80"/>
      <c r="BV145" s="80"/>
      <c r="BW145" s="179"/>
      <c r="BX145" s="81"/>
      <c r="BY145" s="80"/>
      <c r="BZ145" s="80"/>
      <c r="CA145" s="80"/>
      <c r="CB145" s="80"/>
      <c r="CC145" s="80"/>
      <c r="CD145" s="80"/>
      <c r="CE145" s="80"/>
      <c r="CF145" s="80"/>
      <c r="CG145" s="92"/>
      <c r="CI145" s="136">
        <f>$W$92</f>
        <v>44</v>
      </c>
      <c r="CJ145" s="136" t="str">
        <f t="shared" si="0"/>
        <v>Iniciados</v>
      </c>
      <c r="CK145" s="136" t="str">
        <f t="shared" si="1"/>
        <v>Singulares</v>
      </c>
      <c r="CL145" s="136" t="str">
        <f t="shared" si="2"/>
        <v>Masculinos</v>
      </c>
      <c r="CM145" s="136" t="str">
        <f>"Jogo 13º/14º lugar"</f>
        <v>Jogo 13º/14º lugar</v>
      </c>
      <c r="CN145" s="136" t="str">
        <f>$P$88</f>
        <v>Disputa 13º/14º Jogador1</v>
      </c>
      <c r="CO145" s="136" t="str">
        <f>$P$96</f>
        <v>Disputa 13º/14º Jogador2</v>
      </c>
    </row>
    <row r="146" spans="52:93" ht="12.75" customHeight="1">
      <c r="AZ146" s="88"/>
      <c r="BA146" s="84"/>
      <c r="BB146" s="84"/>
      <c r="BC146" s="100">
        <v>1</v>
      </c>
      <c r="BD146" s="100">
        <v>2</v>
      </c>
      <c r="BE146" s="100">
        <v>3</v>
      </c>
      <c r="BF146" s="100">
        <v>4</v>
      </c>
      <c r="BG146" s="100">
        <v>5</v>
      </c>
      <c r="BH146" s="100">
        <v>6</v>
      </c>
      <c r="BI146" s="100">
        <v>7</v>
      </c>
      <c r="BJ146" s="100">
        <v>8</v>
      </c>
      <c r="BK146" s="100">
        <v>9</v>
      </c>
      <c r="BL146" s="100">
        <v>10</v>
      </c>
      <c r="BM146" s="100">
        <v>11</v>
      </c>
      <c r="BN146" s="100">
        <v>12</v>
      </c>
      <c r="BO146" s="100">
        <v>13</v>
      </c>
      <c r="BP146" s="100">
        <v>14</v>
      </c>
      <c r="BQ146" s="100">
        <v>15</v>
      </c>
      <c r="BR146" s="100">
        <v>16</v>
      </c>
      <c r="BS146" s="100">
        <v>17</v>
      </c>
      <c r="BT146" s="100">
        <v>18</v>
      </c>
      <c r="BU146" s="100">
        <v>19</v>
      </c>
      <c r="BV146" s="100">
        <v>20</v>
      </c>
      <c r="BW146" s="100">
        <v>21</v>
      </c>
      <c r="BX146" s="100">
        <v>22</v>
      </c>
      <c r="BY146" s="100">
        <v>23</v>
      </c>
      <c r="BZ146" s="100">
        <v>24</v>
      </c>
      <c r="CA146" s="100">
        <v>25</v>
      </c>
      <c r="CB146" s="100">
        <v>26</v>
      </c>
      <c r="CC146" s="100">
        <v>27</v>
      </c>
      <c r="CD146" s="100">
        <v>28</v>
      </c>
      <c r="CE146" s="100">
        <v>29</v>
      </c>
      <c r="CF146" s="100">
        <v>30</v>
      </c>
      <c r="CG146" s="101"/>
    </row>
    <row r="147" spans="52:93" ht="15" customHeight="1">
      <c r="AZ147" s="88"/>
      <c r="BA147" s="346" t="str">
        <f>IF($BA$131="","",$BA$131)</f>
        <v>B2</v>
      </c>
      <c r="BB147" s="347"/>
      <c r="BC147" s="74"/>
      <c r="BD147" s="75"/>
      <c r="BE147" s="75"/>
      <c r="BF147" s="75"/>
      <c r="BG147" s="75"/>
      <c r="BH147" s="75"/>
      <c r="BI147" s="75"/>
      <c r="BJ147" s="75"/>
      <c r="BK147" s="75"/>
      <c r="BL147" s="76"/>
      <c r="BM147" s="178"/>
      <c r="BN147" s="180"/>
      <c r="BO147" s="77"/>
      <c r="BP147" s="77"/>
      <c r="BQ147" s="77"/>
      <c r="BR147" s="78"/>
      <c r="BS147" s="75"/>
      <c r="BT147" s="75"/>
      <c r="BU147" s="75"/>
      <c r="BV147" s="75"/>
      <c r="BW147" s="178"/>
      <c r="BX147" s="76"/>
      <c r="BY147" s="75"/>
      <c r="BZ147" s="75"/>
      <c r="CA147" s="75"/>
      <c r="CB147" s="75"/>
      <c r="CC147" s="75"/>
      <c r="CD147" s="75"/>
      <c r="CE147" s="75"/>
      <c r="CF147" s="75"/>
      <c r="CG147" s="92"/>
    </row>
    <row r="148" spans="52:93" ht="15" customHeight="1">
      <c r="AZ148" s="88"/>
      <c r="BA148" s="348"/>
      <c r="BB148" s="349"/>
      <c r="BC148" s="79"/>
      <c r="BD148" s="80"/>
      <c r="BE148" s="80"/>
      <c r="BF148" s="80"/>
      <c r="BG148" s="80"/>
      <c r="BH148" s="80"/>
      <c r="BI148" s="80"/>
      <c r="BJ148" s="80"/>
      <c r="BK148" s="80"/>
      <c r="BL148" s="81"/>
      <c r="BM148" s="179"/>
      <c r="BN148" s="181"/>
      <c r="BO148" s="82"/>
      <c r="BP148" s="82"/>
      <c r="BQ148" s="82"/>
      <c r="BR148" s="83"/>
      <c r="BS148" s="80"/>
      <c r="BT148" s="80"/>
      <c r="BU148" s="80"/>
      <c r="BV148" s="80"/>
      <c r="BW148" s="179"/>
      <c r="BX148" s="81"/>
      <c r="BY148" s="80"/>
      <c r="BZ148" s="80"/>
      <c r="CA148" s="80"/>
      <c r="CB148" s="80"/>
      <c r="CC148" s="80"/>
      <c r="CD148" s="80"/>
      <c r="CE148" s="80"/>
      <c r="CF148" s="80"/>
      <c r="CG148" s="92"/>
    </row>
    <row r="149" spans="52:93" ht="15" customHeight="1">
      <c r="AZ149" s="88"/>
      <c r="BA149" s="346" t="str">
        <f>IF($BA$133="","",$BA$133)</f>
        <v>B3</v>
      </c>
      <c r="BB149" s="347"/>
      <c r="BC149" s="74"/>
      <c r="BD149" s="75"/>
      <c r="BE149" s="75"/>
      <c r="BF149" s="75"/>
      <c r="BG149" s="75"/>
      <c r="BH149" s="75"/>
      <c r="BI149" s="75"/>
      <c r="BJ149" s="75"/>
      <c r="BK149" s="75"/>
      <c r="BL149" s="76"/>
      <c r="BM149" s="178"/>
      <c r="BN149" s="180"/>
      <c r="BO149" s="77"/>
      <c r="BP149" s="77"/>
      <c r="BQ149" s="77"/>
      <c r="BR149" s="78"/>
      <c r="BS149" s="75"/>
      <c r="BT149" s="75"/>
      <c r="BU149" s="75"/>
      <c r="BV149" s="75"/>
      <c r="BW149" s="178"/>
      <c r="BX149" s="76"/>
      <c r="BY149" s="75"/>
      <c r="BZ149" s="75"/>
      <c r="CA149" s="75"/>
      <c r="CB149" s="75"/>
      <c r="CC149" s="75"/>
      <c r="CD149" s="75"/>
      <c r="CE149" s="75"/>
      <c r="CF149" s="75"/>
      <c r="CG149" s="98" t="s">
        <v>3</v>
      </c>
    </row>
    <row r="150" spans="52:93" ht="15" customHeight="1">
      <c r="AZ150" s="88"/>
      <c r="BA150" s="348"/>
      <c r="BB150" s="349"/>
      <c r="BC150" s="79"/>
      <c r="BD150" s="80"/>
      <c r="BE150" s="80"/>
      <c r="BF150" s="80"/>
      <c r="BG150" s="80"/>
      <c r="BH150" s="80"/>
      <c r="BI150" s="80"/>
      <c r="BJ150" s="80"/>
      <c r="BK150" s="80"/>
      <c r="BL150" s="81"/>
      <c r="BM150" s="179"/>
      <c r="BN150" s="181"/>
      <c r="BO150" s="82"/>
      <c r="BP150" s="82"/>
      <c r="BQ150" s="82"/>
      <c r="BR150" s="83"/>
      <c r="BS150" s="80"/>
      <c r="BT150" s="80"/>
      <c r="BU150" s="80"/>
      <c r="BV150" s="80"/>
      <c r="BW150" s="179"/>
      <c r="BX150" s="81"/>
      <c r="BY150" s="80"/>
      <c r="BZ150" s="80"/>
      <c r="CA150" s="80"/>
      <c r="CB150" s="80"/>
      <c r="CC150" s="80"/>
      <c r="CD150" s="80"/>
      <c r="CE150" s="80"/>
      <c r="CF150" s="80"/>
      <c r="CG150" s="92"/>
    </row>
    <row r="151" spans="52:93" ht="44.25" customHeight="1">
      <c r="AZ151" s="102"/>
      <c r="BA151" s="103" t="s">
        <v>35</v>
      </c>
      <c r="BB151" s="104"/>
      <c r="BC151" s="105"/>
      <c r="BD151" s="105"/>
      <c r="BE151" s="105"/>
      <c r="BF151" s="105"/>
      <c r="BG151" s="105"/>
      <c r="BH151" s="105"/>
      <c r="BI151" s="105"/>
      <c r="BJ151" s="105"/>
      <c r="BK151" s="105"/>
      <c r="BL151" s="105"/>
      <c r="BM151" s="105"/>
      <c r="BN151" s="105"/>
      <c r="BO151" s="105"/>
      <c r="BP151" s="105"/>
      <c r="BQ151" s="105"/>
      <c r="BR151" s="85"/>
      <c r="BS151" s="85"/>
      <c r="BT151" s="85"/>
      <c r="BU151" s="85"/>
      <c r="BV151" s="85"/>
      <c r="BW151" s="85"/>
      <c r="BX151" s="85"/>
      <c r="BY151" s="85"/>
      <c r="BZ151" s="85"/>
      <c r="CA151" s="85"/>
      <c r="CB151" s="85"/>
      <c r="CC151" s="85"/>
      <c r="CD151" s="85"/>
      <c r="CE151" s="85"/>
      <c r="CF151" s="85"/>
      <c r="CG151" s="81"/>
    </row>
    <row r="152" spans="52:93" ht="26.25" customHeight="1">
      <c r="AZ152" s="345"/>
      <c r="BA152" s="345"/>
      <c r="BB152" s="345"/>
      <c r="BC152" s="345"/>
      <c r="BD152" s="345"/>
      <c r="BE152" s="345"/>
      <c r="BF152" s="345"/>
      <c r="BG152" s="345"/>
      <c r="BH152" s="345"/>
      <c r="BI152" s="345"/>
      <c r="BJ152" s="345"/>
      <c r="BK152" s="345"/>
      <c r="BL152" s="345"/>
      <c r="BM152" s="345"/>
      <c r="BN152" s="345"/>
      <c r="BO152" s="345"/>
      <c r="BP152" s="345"/>
      <c r="BQ152" s="345"/>
      <c r="BR152" s="345"/>
      <c r="BS152" s="345"/>
      <c r="BT152" s="345"/>
      <c r="BU152" s="345"/>
      <c r="BV152" s="345"/>
      <c r="BW152" s="345"/>
      <c r="BX152" s="345"/>
      <c r="BY152" s="345"/>
      <c r="BZ152" s="345"/>
      <c r="CA152" s="345"/>
      <c r="CB152" s="345"/>
      <c r="CC152" s="345"/>
      <c r="CD152" s="345"/>
      <c r="CE152" s="345"/>
      <c r="CF152" s="345"/>
      <c r="CG152" s="345"/>
    </row>
    <row r="153" spans="52:93" ht="22.5" customHeight="1"/>
    <row r="154" spans="52:93" ht="22.5" customHeight="1"/>
    <row r="155" spans="52:93" ht="22.5" customHeight="1"/>
  </sheetData>
  <sheetProtection sheet="1" objects="1" scenarios="1" formatCells="0" formatColumns="0" formatRows="0" autoFilter="0"/>
  <mergeCells count="304">
    <mergeCell ref="C2:F2"/>
    <mergeCell ref="H2:X2"/>
    <mergeCell ref="C3:F3"/>
    <mergeCell ref="H3:O3"/>
    <mergeCell ref="Q3:X3"/>
    <mergeCell ref="C5:I5"/>
    <mergeCell ref="J5:P5"/>
    <mergeCell ref="Q5:W5"/>
    <mergeCell ref="X5:AD5"/>
    <mergeCell ref="AG5:AJ7"/>
    <mergeCell ref="D6:F6"/>
    <mergeCell ref="K6:M6"/>
    <mergeCell ref="R6:T6"/>
    <mergeCell ref="Y6:AA6"/>
    <mergeCell ref="D7:F7"/>
    <mergeCell ref="K7:M7"/>
    <mergeCell ref="R7:T7"/>
    <mergeCell ref="Y7:AA7"/>
    <mergeCell ref="AO9:AO10"/>
    <mergeCell ref="AP9:AP10"/>
    <mergeCell ref="AQ9:AQ10"/>
    <mergeCell ref="AR9:AR10"/>
    <mergeCell ref="AS9:AS10"/>
    <mergeCell ref="D10:F10"/>
    <mergeCell ref="K10:M10"/>
    <mergeCell ref="R10:T10"/>
    <mergeCell ref="Y10:AA10"/>
    <mergeCell ref="AK10:AL10"/>
    <mergeCell ref="AI8:AI9"/>
    <mergeCell ref="AJ8:AJ9"/>
    <mergeCell ref="D9:F9"/>
    <mergeCell ref="K9:M9"/>
    <mergeCell ref="R9:T9"/>
    <mergeCell ref="Y9:AA9"/>
    <mergeCell ref="D8:F8"/>
    <mergeCell ref="K8:M8"/>
    <mergeCell ref="R8:T8"/>
    <mergeCell ref="Y8:AA8"/>
    <mergeCell ref="AG8:AG9"/>
    <mergeCell ref="AH8:AH9"/>
    <mergeCell ref="D13:H13"/>
    <mergeCell ref="K13:O13"/>
    <mergeCell ref="R13:V13"/>
    <mergeCell ref="Y13:AC13"/>
    <mergeCell ref="D14:H14"/>
    <mergeCell ref="K14:O14"/>
    <mergeCell ref="R14:V14"/>
    <mergeCell ref="Y14:AC14"/>
    <mergeCell ref="C11:I11"/>
    <mergeCell ref="J11:P11"/>
    <mergeCell ref="Q11:W11"/>
    <mergeCell ref="X11:AD11"/>
    <mergeCell ref="D12:H12"/>
    <mergeCell ref="K12:O12"/>
    <mergeCell ref="R12:V12"/>
    <mergeCell ref="Y12:AC12"/>
    <mergeCell ref="D15:H15"/>
    <mergeCell ref="K15:O15"/>
    <mergeCell ref="R15:V15"/>
    <mergeCell ref="Y15:AC15"/>
    <mergeCell ref="AK15:AL15"/>
    <mergeCell ref="C16:C17"/>
    <mergeCell ref="D16:E16"/>
    <mergeCell ref="J16:J17"/>
    <mergeCell ref="K16:L16"/>
    <mergeCell ref="Q16:Q17"/>
    <mergeCell ref="R16:S16"/>
    <mergeCell ref="X16:X17"/>
    <mergeCell ref="Y16:Z16"/>
    <mergeCell ref="AE16:AE19"/>
    <mergeCell ref="D17:E17"/>
    <mergeCell ref="K17:L17"/>
    <mergeCell ref="R17:S17"/>
    <mergeCell ref="Y17:Z17"/>
    <mergeCell ref="X18:X19"/>
    <mergeCell ref="Y18:Z18"/>
    <mergeCell ref="Y19:Z19"/>
    <mergeCell ref="C20:C21"/>
    <mergeCell ref="D20:E20"/>
    <mergeCell ref="J20:J21"/>
    <mergeCell ref="K20:L20"/>
    <mergeCell ref="Q20:Q21"/>
    <mergeCell ref="R20:S20"/>
    <mergeCell ref="X20:X21"/>
    <mergeCell ref="Y20:Z20"/>
    <mergeCell ref="C18:C19"/>
    <mergeCell ref="D18:E18"/>
    <mergeCell ref="J18:J19"/>
    <mergeCell ref="K18:L18"/>
    <mergeCell ref="Q18:Q19"/>
    <mergeCell ref="R18:S18"/>
    <mergeCell ref="D19:E19"/>
    <mergeCell ref="K19:L19"/>
    <mergeCell ref="R19:S19"/>
    <mergeCell ref="AE20:AE23"/>
    <mergeCell ref="AK20:AL20"/>
    <mergeCell ref="D21:E21"/>
    <mergeCell ref="K21:L21"/>
    <mergeCell ref="R21:S21"/>
    <mergeCell ref="Y21:Z21"/>
    <mergeCell ref="X22:X23"/>
    <mergeCell ref="Y22:Z22"/>
    <mergeCell ref="Y23:Z23"/>
    <mergeCell ref="C24:C25"/>
    <mergeCell ref="D24:E24"/>
    <mergeCell ref="J24:J25"/>
    <mergeCell ref="K24:L24"/>
    <mergeCell ref="Q24:Q25"/>
    <mergeCell ref="R24:S24"/>
    <mergeCell ref="C22:C23"/>
    <mergeCell ref="D22:E22"/>
    <mergeCell ref="J22:J23"/>
    <mergeCell ref="K22:L22"/>
    <mergeCell ref="Q22:Q23"/>
    <mergeCell ref="R22:S22"/>
    <mergeCell ref="D23:E23"/>
    <mergeCell ref="K23:L23"/>
    <mergeCell ref="R23:S23"/>
    <mergeCell ref="X24:X25"/>
    <mergeCell ref="Y24:Z24"/>
    <mergeCell ref="AE24:AE27"/>
    <mergeCell ref="D25:E25"/>
    <mergeCell ref="K25:L25"/>
    <mergeCell ref="R25:S25"/>
    <mergeCell ref="Y25:Z25"/>
    <mergeCell ref="X26:X27"/>
    <mergeCell ref="Y26:Z26"/>
    <mergeCell ref="AG26:AH26"/>
    <mergeCell ref="AI26:AJ26"/>
    <mergeCell ref="D27:E27"/>
    <mergeCell ref="K27:L27"/>
    <mergeCell ref="R27:S27"/>
    <mergeCell ref="Y27:Z27"/>
    <mergeCell ref="AG27:AH28"/>
    <mergeCell ref="AI27:AJ28"/>
    <mergeCell ref="C28:P28"/>
    <mergeCell ref="C26:C27"/>
    <mergeCell ref="D26:E26"/>
    <mergeCell ref="J26:J27"/>
    <mergeCell ref="K26:L26"/>
    <mergeCell ref="Q26:Q27"/>
    <mergeCell ref="R26:S26"/>
    <mergeCell ref="C32:D32"/>
    <mergeCell ref="Y32:AC32"/>
    <mergeCell ref="AP32:AR32"/>
    <mergeCell ref="P33:S33"/>
    <mergeCell ref="Y33:AC33"/>
    <mergeCell ref="AP33:AR33"/>
    <mergeCell ref="Y29:AD30"/>
    <mergeCell ref="AG29:AJ31"/>
    <mergeCell ref="AP29:AR29"/>
    <mergeCell ref="C30:D30"/>
    <mergeCell ref="AP30:AR30"/>
    <mergeCell ref="I31:K31"/>
    <mergeCell ref="Y31:AC31"/>
    <mergeCell ref="AP31:AR31"/>
    <mergeCell ref="C36:D36"/>
    <mergeCell ref="AP36:AR36"/>
    <mergeCell ref="P37:U37"/>
    <mergeCell ref="X37:AC37"/>
    <mergeCell ref="AP37:AR37"/>
    <mergeCell ref="C38:D38"/>
    <mergeCell ref="Y38:AC38"/>
    <mergeCell ref="AP38:AR38"/>
    <mergeCell ref="C34:D34"/>
    <mergeCell ref="Y34:AC34"/>
    <mergeCell ref="AP34:AR34"/>
    <mergeCell ref="I35:K35"/>
    <mergeCell ref="P35:R35"/>
    <mergeCell ref="AP35:AR35"/>
    <mergeCell ref="C42:D42"/>
    <mergeCell ref="AP42:AR42"/>
    <mergeCell ref="I43:K43"/>
    <mergeCell ref="AP43:AR43"/>
    <mergeCell ref="C44:D44"/>
    <mergeCell ref="AP44:AR44"/>
    <mergeCell ref="I39:K39"/>
    <mergeCell ref="P39:R39"/>
    <mergeCell ref="AP39:AR39"/>
    <mergeCell ref="C40:D40"/>
    <mergeCell ref="AP40:AR40"/>
    <mergeCell ref="P41:S41"/>
    <mergeCell ref="AP41:AR41"/>
    <mergeCell ref="B49:D49"/>
    <mergeCell ref="AP49:AR49"/>
    <mergeCell ref="I50:K50"/>
    <mergeCell ref="Y50:AC50"/>
    <mergeCell ref="AP50:AR50"/>
    <mergeCell ref="Y51:AC51"/>
    <mergeCell ref="AP51:AR51"/>
    <mergeCell ref="AP45:AR45"/>
    <mergeCell ref="AP46:AR46"/>
    <mergeCell ref="AP47:AR47"/>
    <mergeCell ref="I48:W49"/>
    <mergeCell ref="Y48:AD49"/>
    <mergeCell ref="AP48:AR48"/>
    <mergeCell ref="P56:U56"/>
    <mergeCell ref="X56:AC56"/>
    <mergeCell ref="Y57:AC57"/>
    <mergeCell ref="I58:K58"/>
    <mergeCell ref="P58:R58"/>
    <mergeCell ref="P60:S60"/>
    <mergeCell ref="P52:S52"/>
    <mergeCell ref="Y52:AC52"/>
    <mergeCell ref="AP52:AR52"/>
    <mergeCell ref="Y53:AC53"/>
    <mergeCell ref="AP53:AR53"/>
    <mergeCell ref="I54:K54"/>
    <mergeCell ref="P54:R54"/>
    <mergeCell ref="AP54:AR54"/>
    <mergeCell ref="I68:K68"/>
    <mergeCell ref="Y68:AC68"/>
    <mergeCell ref="AP68:AR68"/>
    <mergeCell ref="Y69:AC69"/>
    <mergeCell ref="AP69:AR69"/>
    <mergeCell ref="P70:S70"/>
    <mergeCell ref="Y70:AC70"/>
    <mergeCell ref="AP70:AR70"/>
    <mergeCell ref="I62:K62"/>
    <mergeCell ref="AP65:AR65"/>
    <mergeCell ref="I66:W67"/>
    <mergeCell ref="Y66:AD67"/>
    <mergeCell ref="AP66:AR66"/>
    <mergeCell ref="AP67:AR67"/>
    <mergeCell ref="Y75:AC75"/>
    <mergeCell ref="I76:K76"/>
    <mergeCell ref="P76:R76"/>
    <mergeCell ref="P78:S78"/>
    <mergeCell ref="I80:K80"/>
    <mergeCell ref="AP83:AR83"/>
    <mergeCell ref="Y71:AC71"/>
    <mergeCell ref="AP71:AR71"/>
    <mergeCell ref="I72:K72"/>
    <mergeCell ref="P72:R72"/>
    <mergeCell ref="AP72:AR72"/>
    <mergeCell ref="P74:U74"/>
    <mergeCell ref="X74:AC74"/>
    <mergeCell ref="Y87:AC87"/>
    <mergeCell ref="AP87:AR87"/>
    <mergeCell ref="P88:S88"/>
    <mergeCell ref="Y88:AC88"/>
    <mergeCell ref="AP88:AR88"/>
    <mergeCell ref="Y89:AC89"/>
    <mergeCell ref="AP89:AR89"/>
    <mergeCell ref="I84:W85"/>
    <mergeCell ref="Y84:AD85"/>
    <mergeCell ref="AP84:AR84"/>
    <mergeCell ref="AP85:AR85"/>
    <mergeCell ref="I86:K86"/>
    <mergeCell ref="Y86:AC86"/>
    <mergeCell ref="AP86:AR86"/>
    <mergeCell ref="I94:K94"/>
    <mergeCell ref="P94:R94"/>
    <mergeCell ref="P96:S96"/>
    <mergeCell ref="I98:K98"/>
    <mergeCell ref="AZ100:CG100"/>
    <mergeCell ref="BA101:BM101"/>
    <mergeCell ref="I90:K90"/>
    <mergeCell ref="P90:R90"/>
    <mergeCell ref="AP90:AR90"/>
    <mergeCell ref="P92:U92"/>
    <mergeCell ref="X92:AC92"/>
    <mergeCell ref="Y93:AC93"/>
    <mergeCell ref="BA107:BB108"/>
    <mergeCell ref="BC107:BE108"/>
    <mergeCell ref="BF107:BH108"/>
    <mergeCell ref="BI107:BK108"/>
    <mergeCell ref="BN107:BP108"/>
    <mergeCell ref="BB109:BK109"/>
    <mergeCell ref="BL109:BP109"/>
    <mergeCell ref="BA104:BB104"/>
    <mergeCell ref="BA105:BB106"/>
    <mergeCell ref="BC105:BE106"/>
    <mergeCell ref="BF105:BH106"/>
    <mergeCell ref="BI105:BK106"/>
    <mergeCell ref="BN105:BP106"/>
    <mergeCell ref="AZ126:CG126"/>
    <mergeCell ref="BA127:BM127"/>
    <mergeCell ref="BA130:BB130"/>
    <mergeCell ref="BA131:BB132"/>
    <mergeCell ref="BC131:BE132"/>
    <mergeCell ref="BF131:BH132"/>
    <mergeCell ref="BI131:BK132"/>
    <mergeCell ref="BN131:BP132"/>
    <mergeCell ref="BA111:BB112"/>
    <mergeCell ref="BA113:BB114"/>
    <mergeCell ref="BA116:BB117"/>
    <mergeCell ref="BA118:BB119"/>
    <mergeCell ref="BA121:BB122"/>
    <mergeCell ref="BA123:BB124"/>
    <mergeCell ref="AZ152:CG152"/>
    <mergeCell ref="BA137:BB138"/>
    <mergeCell ref="BA139:BB140"/>
    <mergeCell ref="BA142:BB143"/>
    <mergeCell ref="BA144:BB145"/>
    <mergeCell ref="BA147:BB148"/>
    <mergeCell ref="BA149:BB150"/>
    <mergeCell ref="BA133:BB134"/>
    <mergeCell ref="BC133:BE134"/>
    <mergeCell ref="BF133:BH134"/>
    <mergeCell ref="BI133:BK134"/>
    <mergeCell ref="BN133:BP134"/>
    <mergeCell ref="BB135:BK135"/>
    <mergeCell ref="BL135:BP135"/>
  </mergeCells>
  <printOptions horizontalCentered="1" verticalCentered="1"/>
  <pageMargins left="0.19685039370078741" right="0.19685039370078741" top="0" bottom="0" header="0.15748031496062992" footer="0.15748031496062992"/>
  <pageSetup paperSize="9" scale="68" orientation="portrait" horizontalDpi="150" verticalDpi="15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sheetPr codeName="Folha8">
    <tabColor theme="5" tint="0.39997558519241921"/>
    <pageSetUpPr fitToPage="1"/>
  </sheetPr>
  <dimension ref="B1:CO155"/>
  <sheetViews>
    <sheetView showGridLines="0" zoomScale="80" zoomScaleNormal="80" workbookViewId="0">
      <selection activeCell="AS9" sqref="AS9:AS10"/>
    </sheetView>
  </sheetViews>
  <sheetFormatPr defaultRowHeight="12.75"/>
  <cols>
    <col min="1" max="1" width="1.42578125" style="1" customWidth="1"/>
    <col min="2" max="2" width="2.140625" style="1" customWidth="1"/>
    <col min="3" max="3" width="3.28515625" style="34" customWidth="1"/>
    <col min="4" max="4" width="24.140625" style="1" customWidth="1"/>
    <col min="5" max="5" width="2.85546875" style="1" customWidth="1"/>
    <col min="6" max="9" width="3.28515625" style="1" customWidth="1"/>
    <col min="10" max="10" width="3.28515625" style="34" customWidth="1"/>
    <col min="11" max="11" width="24.140625" style="1" customWidth="1"/>
    <col min="12" max="12" width="2.85546875" style="1" customWidth="1"/>
    <col min="13" max="13" width="3.42578125" style="1" customWidth="1"/>
    <col min="14" max="16" width="3.28515625" style="1" customWidth="1"/>
    <col min="17" max="17" width="3.28515625" style="34" customWidth="1"/>
    <col min="18" max="18" width="24.140625" style="1" customWidth="1"/>
    <col min="19" max="19" width="2.85546875" style="1" customWidth="1"/>
    <col min="20" max="23" width="3.28515625" style="1" customWidth="1"/>
    <col min="24" max="24" width="3.28515625" style="34" customWidth="1"/>
    <col min="25" max="25" width="24.140625" style="1" customWidth="1"/>
    <col min="26" max="26" width="1.85546875" style="1" customWidth="1"/>
    <col min="27" max="29" width="3.28515625" style="1" customWidth="1"/>
    <col min="30" max="30" width="4" style="1" customWidth="1"/>
    <col min="31" max="31" width="6.140625" style="1" customWidth="1"/>
    <col min="32" max="32" width="5" style="1" customWidth="1"/>
    <col min="33" max="33" width="5.5703125" style="1" customWidth="1"/>
    <col min="34" max="34" width="5.85546875" style="1" customWidth="1"/>
    <col min="35" max="35" width="5.5703125" style="1" customWidth="1"/>
    <col min="36" max="36" width="5.85546875" style="1" customWidth="1"/>
    <col min="37" max="38" width="6.85546875" style="1" customWidth="1"/>
    <col min="39" max="39" width="4.7109375" style="1" customWidth="1"/>
    <col min="40" max="40" width="5" style="1" customWidth="1"/>
    <col min="41" max="41" width="23.42578125" style="1" customWidth="1"/>
    <col min="42" max="44" width="10" style="1" customWidth="1"/>
    <col min="45" max="51" width="12" style="1" customWidth="1"/>
    <col min="52" max="52" width="2.85546875" style="1" customWidth="1"/>
    <col min="53" max="53" width="34.7109375" style="1" customWidth="1"/>
    <col min="54" max="54" width="8.140625" style="1" customWidth="1"/>
    <col min="55" max="84" width="3.28515625" style="1" customWidth="1"/>
    <col min="85" max="85" width="2.85546875" style="1" customWidth="1"/>
    <col min="86" max="86" width="9.140625" style="1"/>
    <col min="87" max="87" width="7.5703125" style="1" customWidth="1"/>
    <col min="88" max="90" width="9.140625" style="1"/>
    <col min="91" max="91" width="22" style="1" customWidth="1"/>
    <col min="92" max="93" width="27.28515625" style="1" customWidth="1"/>
    <col min="94" max="16384" width="9.140625" style="1"/>
  </cols>
  <sheetData>
    <row r="1" spans="2:71" ht="9" customHeight="1"/>
    <row r="2" spans="2:71" ht="28.5" customHeight="1">
      <c r="B2" s="125"/>
      <c r="C2" s="481" t="s">
        <v>252</v>
      </c>
      <c r="D2" s="481"/>
      <c r="E2" s="481"/>
      <c r="F2" s="481"/>
      <c r="G2" s="110"/>
      <c r="H2" s="482" t="s">
        <v>53</v>
      </c>
      <c r="I2" s="482"/>
      <c r="J2" s="482"/>
      <c r="K2" s="482"/>
      <c r="L2" s="482"/>
      <c r="M2" s="482"/>
      <c r="N2" s="482"/>
      <c r="O2" s="482"/>
      <c r="P2" s="482"/>
      <c r="Q2" s="482"/>
      <c r="R2" s="482"/>
      <c r="S2" s="482"/>
      <c r="T2" s="482"/>
      <c r="U2" s="482"/>
      <c r="V2" s="482"/>
      <c r="W2" s="482"/>
      <c r="X2" s="482"/>
      <c r="Y2" s="110"/>
      <c r="Z2" s="110"/>
      <c r="AA2" s="110"/>
      <c r="AB2" s="110"/>
      <c r="AC2" s="110"/>
      <c r="AD2" s="110" t="s">
        <v>17</v>
      </c>
      <c r="AE2" s="3"/>
      <c r="AG2" s="310"/>
      <c r="AH2" s="311"/>
      <c r="AN2" s="312"/>
      <c r="AO2" s="312"/>
      <c r="AP2" s="312"/>
      <c r="AQ2" s="312"/>
      <c r="AR2" s="312"/>
      <c r="AS2" s="312"/>
      <c r="AT2" s="312"/>
      <c r="AU2" s="312"/>
      <c r="AV2" s="312"/>
      <c r="AW2" s="312"/>
      <c r="AX2" s="312"/>
      <c r="AY2" s="312"/>
      <c r="BA2" s="313"/>
      <c r="BB2" s="313"/>
      <c r="BC2" s="313"/>
      <c r="BD2" s="313"/>
      <c r="BE2" s="313"/>
      <c r="BF2" s="313"/>
      <c r="BG2" s="313"/>
      <c r="BH2" s="313"/>
      <c r="BI2" s="313"/>
      <c r="BJ2" s="313"/>
      <c r="BK2" s="313"/>
      <c r="BL2" s="313"/>
      <c r="BM2" s="313"/>
      <c r="BN2" s="313"/>
      <c r="BO2" s="313"/>
      <c r="BP2" s="313"/>
      <c r="BQ2" s="313"/>
      <c r="BR2" s="313"/>
      <c r="BS2" s="313"/>
    </row>
    <row r="3" spans="2:71" ht="20.25" customHeight="1">
      <c r="B3" s="126"/>
      <c r="C3" s="483" t="s">
        <v>253</v>
      </c>
      <c r="D3" s="483"/>
      <c r="E3" s="483"/>
      <c r="F3" s="483"/>
      <c r="G3" s="111"/>
      <c r="H3" s="484" t="s">
        <v>30</v>
      </c>
      <c r="I3" s="484"/>
      <c r="J3" s="484"/>
      <c r="K3" s="484"/>
      <c r="L3" s="484"/>
      <c r="M3" s="484"/>
      <c r="N3" s="484"/>
      <c r="O3" s="484"/>
      <c r="P3" s="112" t="s">
        <v>31</v>
      </c>
      <c r="Q3" s="485" t="s">
        <v>50</v>
      </c>
      <c r="R3" s="485"/>
      <c r="S3" s="485"/>
      <c r="T3" s="485"/>
      <c r="U3" s="485"/>
      <c r="V3" s="485"/>
      <c r="W3" s="485"/>
      <c r="X3" s="485"/>
      <c r="Y3" s="111"/>
      <c r="Z3" s="111"/>
      <c r="AA3" s="111"/>
      <c r="AB3" s="111"/>
      <c r="AC3" s="111"/>
      <c r="AD3" s="111"/>
      <c r="AE3" s="113"/>
      <c r="AG3" s="310"/>
      <c r="AH3" s="311"/>
      <c r="AN3" s="312"/>
      <c r="AO3" s="312"/>
      <c r="AP3" s="312"/>
      <c r="AQ3" s="312"/>
      <c r="AR3" s="312"/>
      <c r="AS3" s="312"/>
      <c r="AT3" s="312"/>
      <c r="AU3" s="312"/>
      <c r="AV3" s="312"/>
      <c r="AW3" s="312"/>
      <c r="AX3" s="312"/>
      <c r="AY3" s="312"/>
      <c r="BA3" s="313"/>
      <c r="BB3" s="313"/>
      <c r="BC3" s="313"/>
      <c r="BD3" s="313"/>
      <c r="BE3" s="313"/>
      <c r="BF3" s="313"/>
      <c r="BG3" s="313"/>
      <c r="BH3" s="313"/>
      <c r="BI3" s="313"/>
      <c r="BJ3" s="313"/>
      <c r="BK3" s="313"/>
      <c r="BL3" s="313"/>
      <c r="BM3" s="313"/>
      <c r="BN3" s="313"/>
      <c r="BO3" s="313"/>
      <c r="BP3" s="313"/>
      <c r="BQ3" s="313"/>
      <c r="BR3" s="313"/>
      <c r="BS3" s="313"/>
    </row>
    <row r="4" spans="2:71" ht="13.5" customHeight="1" thickBot="1">
      <c r="B4" s="126"/>
      <c r="C4" s="115"/>
      <c r="D4" s="114"/>
      <c r="E4" s="114"/>
      <c r="F4" s="114"/>
      <c r="G4" s="114"/>
      <c r="H4" s="114"/>
      <c r="I4" s="114"/>
      <c r="J4" s="115"/>
      <c r="K4" s="114"/>
      <c r="L4" s="114"/>
      <c r="M4" s="114"/>
      <c r="N4" s="114"/>
      <c r="O4" s="114"/>
      <c r="P4" s="114" t="s">
        <v>19</v>
      </c>
      <c r="Q4" s="115"/>
      <c r="R4" s="114"/>
      <c r="S4" s="114"/>
      <c r="T4" s="114"/>
      <c r="U4" s="114"/>
      <c r="V4" s="114"/>
      <c r="W4" s="114" t="s">
        <v>18</v>
      </c>
      <c r="X4" s="115"/>
      <c r="Y4" s="114"/>
      <c r="Z4" s="114"/>
      <c r="AA4" s="114"/>
      <c r="AB4" s="114"/>
      <c r="AC4" s="114"/>
      <c r="AD4" s="114"/>
      <c r="AE4" s="116"/>
      <c r="AF4" s="106"/>
      <c r="AN4" s="312"/>
      <c r="AO4" s="312"/>
      <c r="AP4" s="312"/>
      <c r="AQ4" s="312"/>
      <c r="AR4" s="312"/>
      <c r="AS4" s="312"/>
      <c r="AT4" s="312"/>
      <c r="AU4" s="312"/>
      <c r="AV4" s="312"/>
      <c r="AW4" s="312"/>
      <c r="AX4" s="312"/>
      <c r="AY4" s="312"/>
      <c r="BA4" s="313"/>
      <c r="BB4" s="313"/>
      <c r="BC4" s="313"/>
      <c r="BD4" s="313"/>
      <c r="BE4" s="313"/>
      <c r="BF4" s="313"/>
      <c r="BG4" s="313"/>
      <c r="BH4" s="313"/>
      <c r="BI4" s="313"/>
      <c r="BJ4" s="313"/>
      <c r="BK4" s="313"/>
      <c r="BL4" s="313"/>
      <c r="BM4" s="313"/>
      <c r="BN4" s="313"/>
      <c r="BO4" s="313"/>
      <c r="BP4" s="313"/>
      <c r="BQ4" s="313"/>
      <c r="BR4" s="313"/>
      <c r="BS4" s="313"/>
    </row>
    <row r="5" spans="2:71" ht="28.5" customHeight="1">
      <c r="B5" s="126"/>
      <c r="C5" s="486" t="s">
        <v>7</v>
      </c>
      <c r="D5" s="487"/>
      <c r="E5" s="487"/>
      <c r="F5" s="487"/>
      <c r="G5" s="487"/>
      <c r="H5" s="487"/>
      <c r="I5" s="488"/>
      <c r="J5" s="486" t="s">
        <v>8</v>
      </c>
      <c r="K5" s="487"/>
      <c r="L5" s="487"/>
      <c r="M5" s="487"/>
      <c r="N5" s="487"/>
      <c r="O5" s="487"/>
      <c r="P5" s="488"/>
      <c r="Q5" s="486" t="s">
        <v>9</v>
      </c>
      <c r="R5" s="487"/>
      <c r="S5" s="487"/>
      <c r="T5" s="487"/>
      <c r="U5" s="487"/>
      <c r="V5" s="487"/>
      <c r="W5" s="488"/>
      <c r="X5" s="486" t="s">
        <v>10</v>
      </c>
      <c r="Y5" s="487"/>
      <c r="Z5" s="487"/>
      <c r="AA5" s="487"/>
      <c r="AB5" s="487"/>
      <c r="AC5" s="487"/>
      <c r="AD5" s="488"/>
      <c r="AE5" s="117"/>
      <c r="AF5" s="107"/>
      <c r="AG5" s="478" t="s">
        <v>47</v>
      </c>
      <c r="AH5" s="478"/>
      <c r="AI5" s="478"/>
      <c r="AJ5" s="478"/>
      <c r="AN5" s="314"/>
      <c r="AO5" s="314"/>
      <c r="AP5" s="314"/>
      <c r="AQ5" s="314"/>
      <c r="AR5" s="314"/>
      <c r="AS5" s="315"/>
      <c r="AT5" s="315"/>
      <c r="AU5" s="315"/>
      <c r="AV5" s="315"/>
      <c r="AW5" s="315"/>
      <c r="AX5" s="315"/>
      <c r="AY5" s="315"/>
      <c r="BA5" s="313"/>
      <c r="BB5" s="313"/>
      <c r="BC5" s="313"/>
      <c r="BD5" s="313"/>
      <c r="BE5" s="313"/>
      <c r="BF5" s="313"/>
      <c r="BG5" s="313"/>
      <c r="BH5" s="313"/>
      <c r="BI5" s="313"/>
      <c r="BJ5" s="313"/>
      <c r="BK5" s="313"/>
      <c r="BL5" s="313"/>
      <c r="BM5" s="313"/>
      <c r="BN5" s="313"/>
      <c r="BO5" s="313"/>
      <c r="BP5" s="313"/>
      <c r="BQ5" s="313"/>
      <c r="BR5" s="313"/>
      <c r="BS5" s="313"/>
    </row>
    <row r="6" spans="2:71" ht="18" customHeight="1">
      <c r="B6" s="126"/>
      <c r="C6" s="2"/>
      <c r="D6" s="480" t="s">
        <v>11</v>
      </c>
      <c r="E6" s="480"/>
      <c r="F6" s="480"/>
      <c r="G6" s="3"/>
      <c r="H6" s="4" t="s">
        <v>6</v>
      </c>
      <c r="I6" s="5"/>
      <c r="J6" s="2"/>
      <c r="K6" s="480" t="s">
        <v>11</v>
      </c>
      <c r="L6" s="480"/>
      <c r="M6" s="480"/>
      <c r="N6" s="3"/>
      <c r="O6" s="4" t="s">
        <v>6</v>
      </c>
      <c r="P6" s="5"/>
      <c r="Q6" s="2"/>
      <c r="R6" s="480" t="s">
        <v>11</v>
      </c>
      <c r="S6" s="480"/>
      <c r="T6" s="480"/>
      <c r="U6" s="3"/>
      <c r="V6" s="4" t="s">
        <v>6</v>
      </c>
      <c r="W6" s="5"/>
      <c r="X6" s="2"/>
      <c r="Y6" s="480" t="s">
        <v>11</v>
      </c>
      <c r="Z6" s="480"/>
      <c r="AA6" s="480"/>
      <c r="AB6" s="3"/>
      <c r="AC6" s="4" t="s">
        <v>6</v>
      </c>
      <c r="AD6" s="5"/>
      <c r="AE6" s="117"/>
      <c r="AF6" s="107"/>
      <c r="AG6" s="478"/>
      <c r="AH6" s="478"/>
      <c r="AI6" s="478"/>
      <c r="AJ6" s="478"/>
      <c r="AN6" s="286"/>
      <c r="AO6" s="286"/>
      <c r="AP6" s="316"/>
      <c r="AQ6" s="316"/>
      <c r="AR6" s="316"/>
      <c r="AS6" s="287"/>
      <c r="AT6" s="287"/>
      <c r="AU6" s="287"/>
      <c r="AV6" s="287"/>
      <c r="AW6" s="287"/>
      <c r="AX6" s="287"/>
      <c r="AY6" s="287"/>
      <c r="BA6" s="313"/>
      <c r="BB6" s="313"/>
      <c r="BC6" s="313"/>
      <c r="BD6" s="313"/>
      <c r="BE6" s="313"/>
      <c r="BF6" s="313"/>
      <c r="BG6" s="313"/>
      <c r="BH6" s="313"/>
      <c r="BI6" s="313"/>
      <c r="BJ6" s="313"/>
      <c r="BK6" s="313"/>
      <c r="BL6" s="313"/>
      <c r="BM6" s="313"/>
      <c r="BN6" s="313"/>
      <c r="BO6" s="313"/>
      <c r="BP6" s="313"/>
      <c r="BQ6" s="313"/>
      <c r="BR6" s="313"/>
      <c r="BS6" s="313"/>
    </row>
    <row r="7" spans="2:71" ht="19.5" customHeight="1" thickBot="1">
      <c r="B7" s="126"/>
      <c r="C7" s="6"/>
      <c r="D7" s="473" t="s">
        <v>426</v>
      </c>
      <c r="E7" s="473"/>
      <c r="F7" s="473"/>
      <c r="G7" s="7" t="s">
        <v>16</v>
      </c>
      <c r="H7" s="8">
        <f>IF(COUNT(F$16,F$22,F$27)=0,"",SUM(AND(F$16&lt;&gt;"",F$17&lt;&gt;"",F$16&gt;F$17),AND(F$22&lt;&gt;"",F$23&lt;&gt;"",F$22&gt;F$23),AND(F$27&lt;&gt;"",F$26&lt;&gt;"",F$27&gt;F$26)))</f>
        <v>1</v>
      </c>
      <c r="I7" s="9"/>
      <c r="J7" s="6"/>
      <c r="K7" s="473" t="s">
        <v>228</v>
      </c>
      <c r="L7" s="473"/>
      <c r="M7" s="473"/>
      <c r="N7" s="7" t="s">
        <v>16</v>
      </c>
      <c r="O7" s="8" t="str">
        <f>IF(COUNT(M$16,M$22,M$27)=0,"",SUM(AND(M$16&lt;&gt;"",M$17&lt;&gt;"",M$16&gt;M$17),AND(M$22&lt;&gt;"",M$23&lt;&gt;"",M$22&gt;M$23),AND(M$27&lt;&gt;"",M$26&lt;&gt;"",M$27&gt;M$26)))</f>
        <v/>
      </c>
      <c r="P7" s="9"/>
      <c r="Q7" s="6"/>
      <c r="R7" s="473" t="s">
        <v>232</v>
      </c>
      <c r="S7" s="473"/>
      <c r="T7" s="473"/>
      <c r="U7" s="7" t="s">
        <v>16</v>
      </c>
      <c r="V7" s="8" t="str">
        <f>IF(COUNT(T$16,T$22,T$27)=0,"",SUM(AND(T$16&lt;&gt;"",T$17&lt;&gt;"",T$16&gt;T$17),AND(T$22&lt;&gt;"",T$23&lt;&gt;"",T$22&gt;T$23),AND(T$27&lt;&gt;"",T$26&lt;&gt;"",T$27&gt;T$26)))</f>
        <v/>
      </c>
      <c r="W7" s="9"/>
      <c r="X7" s="6"/>
      <c r="Y7" s="473" t="s">
        <v>236</v>
      </c>
      <c r="Z7" s="473"/>
      <c r="AA7" s="473"/>
      <c r="AB7" s="7" t="s">
        <v>16</v>
      </c>
      <c r="AC7" s="8" t="str">
        <f>IF(COUNT(AA$16,AA$22,AA$27)=0,"",SUM(AND(AA$16&lt;&gt;"",AA$17&lt;&gt;"",AA$16&gt;AA$17),AND(AA$22&lt;&gt;"",AA$23&lt;&gt;"",AA$22&gt;AA$23),AND(AA$27&lt;&gt;"",AA$26&lt;&gt;"",AA$27&gt;AA$26)))</f>
        <v/>
      </c>
      <c r="AD7" s="9"/>
      <c r="AE7" s="113"/>
      <c r="AG7" s="479"/>
      <c r="AH7" s="479"/>
      <c r="AI7" s="479"/>
      <c r="AJ7" s="479"/>
      <c r="AT7" s="291"/>
      <c r="AU7" s="291"/>
      <c r="AV7" s="290"/>
      <c r="AW7" s="291"/>
      <c r="AX7" s="291"/>
      <c r="AY7" s="290"/>
      <c r="BA7" s="313"/>
      <c r="BB7" s="313"/>
      <c r="BC7" s="313"/>
      <c r="BD7" s="313"/>
      <c r="BE7" s="313"/>
      <c r="BF7" s="313"/>
      <c r="BG7" s="313"/>
      <c r="BH7" s="313"/>
      <c r="BI7" s="313"/>
      <c r="BJ7" s="313"/>
      <c r="BK7" s="313"/>
      <c r="BL7" s="313"/>
      <c r="BM7" s="313"/>
      <c r="BN7" s="313"/>
      <c r="BO7" s="313"/>
      <c r="BP7" s="313"/>
      <c r="BQ7" s="313"/>
      <c r="BR7" s="313"/>
      <c r="BS7" s="313"/>
    </row>
    <row r="8" spans="2:71" ht="19.5" customHeight="1">
      <c r="B8" s="126"/>
      <c r="C8" s="6"/>
      <c r="D8" s="473" t="s">
        <v>226</v>
      </c>
      <c r="E8" s="473"/>
      <c r="F8" s="473"/>
      <c r="G8" s="10" t="s">
        <v>16</v>
      </c>
      <c r="H8" s="8" t="str">
        <f>IF(COUNT(F$18,F$23,F$24)=0,"",SUM(AND(F$18&lt;&gt;"",F$19&lt;&gt;"",F$18&gt;F$19),AND(F$22&lt;&gt;"",F$23&lt;&gt;"",F$23&gt;F$22),AND(F$24&lt;&gt;"",F$25&lt;&gt;"",F$24&gt;F$25)))</f>
        <v/>
      </c>
      <c r="I8" s="9"/>
      <c r="J8" s="6"/>
      <c r="K8" s="473" t="s">
        <v>229</v>
      </c>
      <c r="L8" s="473"/>
      <c r="M8" s="473"/>
      <c r="N8" s="10" t="s">
        <v>16</v>
      </c>
      <c r="O8" s="8" t="str">
        <f>IF(COUNT(M$18,M$23,M$24)=0,"",SUM(AND(M$18&lt;&gt;"",M$19&lt;&gt;"",M$18&gt;M$19),AND(M$22&lt;&gt;"",M$23&lt;&gt;"",M$23&gt;M$22),AND(M$24&lt;&gt;"",M$25&lt;&gt;"",M$24&gt;M$25)))</f>
        <v/>
      </c>
      <c r="P8" s="9"/>
      <c r="Q8" s="6"/>
      <c r="R8" s="473" t="s">
        <v>233</v>
      </c>
      <c r="S8" s="473"/>
      <c r="T8" s="473"/>
      <c r="U8" s="10" t="s">
        <v>16</v>
      </c>
      <c r="V8" s="8" t="str">
        <f>IF(COUNT(T$18,T$23,T$24)=0,"",SUM(AND(T$18&lt;&gt;"",T$19&lt;&gt;"",T$18&gt;T$19),AND(T$22&lt;&gt;"",T$23&lt;&gt;"",T$23&gt;T$22),AND(T$24&lt;&gt;"",T$25&lt;&gt;"",T$24&gt;T$25)))</f>
        <v/>
      </c>
      <c r="W8" s="9"/>
      <c r="X8" s="6"/>
      <c r="Y8" s="473" t="s">
        <v>237</v>
      </c>
      <c r="Z8" s="473"/>
      <c r="AA8" s="473"/>
      <c r="AB8" s="10" t="s">
        <v>16</v>
      </c>
      <c r="AC8" s="8" t="str">
        <f>IF(COUNT(AA$18,AA$23,AA$24)=0,"",SUM(AND(AA$18&lt;&gt;"",AA$19&lt;&gt;"",AA$18&gt;AA$19),AND(AA$22&lt;&gt;"",AA$23&lt;&gt;"",AA$23&gt;AA$22),AND(AA$24&lt;&gt;"",AA$25&lt;&gt;"",AA$24&gt;AA$25)))</f>
        <v/>
      </c>
      <c r="AD8" s="9"/>
      <c r="AE8" s="113"/>
      <c r="AG8" s="474" t="s">
        <v>40</v>
      </c>
      <c r="AH8" s="476" t="s">
        <v>41</v>
      </c>
      <c r="AI8" s="474" t="s">
        <v>40</v>
      </c>
      <c r="AJ8" s="476" t="s">
        <v>41</v>
      </c>
      <c r="AT8" s="317"/>
      <c r="AU8" s="317"/>
      <c r="AV8" s="290"/>
      <c r="AW8" s="317"/>
      <c r="AX8" s="317"/>
      <c r="AY8" s="290"/>
      <c r="BA8" s="313"/>
      <c r="BB8" s="313"/>
      <c r="BC8" s="313"/>
      <c r="BD8" s="313"/>
      <c r="BE8" s="313"/>
      <c r="BF8" s="313"/>
      <c r="BG8" s="313"/>
      <c r="BH8" s="313"/>
      <c r="BI8" s="313"/>
      <c r="BJ8" s="313"/>
      <c r="BK8" s="313"/>
      <c r="BL8" s="313"/>
      <c r="BM8" s="313"/>
      <c r="BN8" s="313"/>
      <c r="BO8" s="313"/>
      <c r="BP8" s="313"/>
      <c r="BQ8" s="313"/>
      <c r="BR8" s="313"/>
      <c r="BS8" s="313"/>
    </row>
    <row r="9" spans="2:71" ht="19.5" customHeight="1" thickBot="1">
      <c r="B9" s="126"/>
      <c r="C9" s="6"/>
      <c r="D9" s="473" t="s">
        <v>227</v>
      </c>
      <c r="E9" s="473"/>
      <c r="F9" s="473"/>
      <c r="G9" s="10" t="s">
        <v>16</v>
      </c>
      <c r="H9" s="8" t="str">
        <f>IF(COUNT(F$19,F$21,F$26)=0,"",SUM(AND(F$18&lt;&gt;"",F$19&lt;&gt;"",F$19&gt;F$18),AND(F$20&lt;&gt;"",F$21&lt;&gt;"",F$21&gt;F$20),AND(F$26&lt;&gt;"",F$27&lt;&gt;"",F$26&gt;F$27)))</f>
        <v/>
      </c>
      <c r="I9" s="9"/>
      <c r="J9" s="6"/>
      <c r="K9" s="473" t="s">
        <v>230</v>
      </c>
      <c r="L9" s="473"/>
      <c r="M9" s="473"/>
      <c r="N9" s="10" t="s">
        <v>16</v>
      </c>
      <c r="O9" s="8" t="str">
        <f>IF(COUNT(M$19,M$21,M$26)=0,"",SUM(AND(M$18&lt;&gt;"",M$19&lt;&gt;"",M$19&gt;M$18),AND(M$20&lt;&gt;"",M$21&lt;&gt;"",M$21&gt;M$20),AND(M$26&lt;&gt;"",M$27&lt;&gt;"",M$26&gt;M$27)))</f>
        <v/>
      </c>
      <c r="P9" s="9"/>
      <c r="Q9" s="6"/>
      <c r="R9" s="473" t="s">
        <v>234</v>
      </c>
      <c r="S9" s="473"/>
      <c r="T9" s="473"/>
      <c r="U9" s="10" t="s">
        <v>16</v>
      </c>
      <c r="V9" s="8" t="str">
        <f>IF(COUNT(T$19,T$21,T$26)=0,"",SUM(AND(T$18&lt;&gt;"",T$19&lt;&gt;"",T$19&gt;T$18),AND(T$20&lt;&gt;"",T$21&lt;&gt;"",T$21&gt;T$20),AND(T$26&lt;&gt;"",T$27&lt;&gt;"",T$26&gt;T$27)))</f>
        <v/>
      </c>
      <c r="W9" s="9"/>
      <c r="X9" s="6"/>
      <c r="Y9" s="473" t="s">
        <v>239</v>
      </c>
      <c r="Z9" s="473"/>
      <c r="AA9" s="473"/>
      <c r="AB9" s="10" t="s">
        <v>16</v>
      </c>
      <c r="AC9" s="8" t="str">
        <f>IF(COUNT(AA$19,AA$21,AA$26)=0,"",SUM(AND(AA$18&lt;&gt;"",AA$19&lt;&gt;"",AA$19&gt;AA$18),AND(AA$20&lt;&gt;"",AA$21&lt;&gt;"",AA$21&gt;AA$20),AND(AA$26&lt;&gt;"",AA$27&lt;&gt;"",AA$26&gt;AA$27)))</f>
        <v/>
      </c>
      <c r="AD9" s="9"/>
      <c r="AE9" s="113"/>
      <c r="AG9" s="475"/>
      <c r="AH9" s="477"/>
      <c r="AI9" s="475"/>
      <c r="AJ9" s="477"/>
      <c r="AN9" s="318"/>
      <c r="AO9" s="468" t="s">
        <v>415</v>
      </c>
      <c r="AP9" s="470" t="s">
        <v>416</v>
      </c>
      <c r="AQ9" s="470" t="s">
        <v>417</v>
      </c>
      <c r="AR9" s="470" t="s">
        <v>418</v>
      </c>
      <c r="AS9" s="472" t="s">
        <v>419</v>
      </c>
      <c r="AT9" s="291"/>
      <c r="AU9" s="291"/>
      <c r="AV9" s="290"/>
      <c r="AW9" s="291"/>
      <c r="AX9" s="291"/>
      <c r="AY9" s="290"/>
      <c r="BA9" s="313"/>
      <c r="BB9" s="313"/>
      <c r="BC9" s="313"/>
      <c r="BD9" s="313"/>
      <c r="BE9" s="313"/>
      <c r="BF9" s="313"/>
      <c r="BG9" s="313"/>
      <c r="BH9" s="313"/>
      <c r="BI9" s="313"/>
      <c r="BJ9" s="313"/>
      <c r="BK9" s="313"/>
      <c r="BL9" s="313"/>
      <c r="BM9" s="313"/>
      <c r="BN9" s="313"/>
      <c r="BO9" s="313"/>
      <c r="BP9" s="313"/>
      <c r="BQ9" s="313"/>
      <c r="BR9" s="313"/>
      <c r="BS9" s="313"/>
    </row>
    <row r="10" spans="2:71" ht="19.5" customHeight="1" thickBot="1">
      <c r="B10" s="126"/>
      <c r="C10" s="6"/>
      <c r="D10" s="473" t="s">
        <v>251</v>
      </c>
      <c r="E10" s="473"/>
      <c r="F10" s="473"/>
      <c r="G10" s="10" t="s">
        <v>16</v>
      </c>
      <c r="H10" s="11">
        <f>IF(COUNT(F$17,F$20,F$25)=0,"",SUM(AND(F$16&lt;&gt;"",F$17&lt;&gt;"",F$17&gt;F$16),AND(F$20&lt;&gt;"",F$21&lt;&gt;"",F$20&gt;F$21),AND(F$24&lt;&gt;"",F$25&lt;&gt;"",F$25&gt;F$24)))</f>
        <v>0</v>
      </c>
      <c r="I10" s="12"/>
      <c r="J10" s="6"/>
      <c r="K10" s="473" t="s">
        <v>231</v>
      </c>
      <c r="L10" s="473"/>
      <c r="M10" s="473"/>
      <c r="N10" s="10" t="s">
        <v>16</v>
      </c>
      <c r="O10" s="11" t="str">
        <f>IF(COUNT(M$17,M$20,M$25)=0,"",SUM(AND(M$16&lt;&gt;"",M$17&lt;&gt;"",M$17&gt;M$16),AND(M$20&lt;&gt;"",M$21&lt;&gt;"",M$20&gt;M$21),AND(M$24&lt;&gt;"",M$25&lt;&gt;"",M$25&gt;M$24)))</f>
        <v/>
      </c>
      <c r="P10" s="12"/>
      <c r="Q10" s="6"/>
      <c r="R10" s="473" t="s">
        <v>235</v>
      </c>
      <c r="S10" s="473"/>
      <c r="T10" s="473"/>
      <c r="U10" s="10" t="s">
        <v>16</v>
      </c>
      <c r="V10" s="11" t="str">
        <f>IF(COUNT(T$17,T$20,T$25)=0,"",SUM(AND(T$16&lt;&gt;"",T$17&lt;&gt;"",T$17&gt;T$16),AND(T$20&lt;&gt;"",T$21&lt;&gt;"",T$20&gt;T$21),AND(T$24&lt;&gt;"",T$25&lt;&gt;"",T$25&gt;T$24)))</f>
        <v/>
      </c>
      <c r="W10" s="12"/>
      <c r="X10" s="6"/>
      <c r="Y10" s="473" t="s">
        <v>238</v>
      </c>
      <c r="Z10" s="473"/>
      <c r="AA10" s="473"/>
      <c r="AB10" s="10" t="s">
        <v>16</v>
      </c>
      <c r="AC10" s="11" t="str">
        <f>IF(COUNT(AA$17,AA$20,AA$25)=0,"",SUM(AND(AA$16&lt;&gt;"",AA$17&lt;&gt;"",AA$17&gt;AA$16),AND(AA$20&lt;&gt;"",AA$21&lt;&gt;"",AA$20&gt;AA$21),AND(AA$24&lt;&gt;"",AA$25&lt;&gt;"",AA$25&gt;AA$24)))</f>
        <v/>
      </c>
      <c r="AD10" s="12"/>
      <c r="AE10" s="113"/>
      <c r="AG10" s="159">
        <f>$C$16</f>
        <v>1</v>
      </c>
      <c r="AH10" s="160"/>
      <c r="AI10" s="159">
        <f>$C$24</f>
        <v>17</v>
      </c>
      <c r="AJ10" s="160"/>
      <c r="AK10" s="454" t="s">
        <v>49</v>
      </c>
      <c r="AL10" s="455"/>
      <c r="AN10" s="319"/>
      <c r="AO10" s="469"/>
      <c r="AP10" s="469"/>
      <c r="AQ10" s="471"/>
      <c r="AR10" s="469"/>
      <c r="AS10" s="472"/>
      <c r="AT10" s="291"/>
      <c r="AU10" s="291"/>
      <c r="AV10" s="290"/>
      <c r="AW10" s="291"/>
      <c r="AX10" s="291"/>
      <c r="AY10" s="290"/>
      <c r="BA10" s="313"/>
      <c r="BB10" s="313"/>
      <c r="BC10" s="313"/>
      <c r="BD10" s="313"/>
      <c r="BE10" s="313"/>
      <c r="BF10" s="313"/>
      <c r="BG10" s="313"/>
      <c r="BH10" s="313"/>
      <c r="BI10" s="313"/>
      <c r="BJ10" s="313"/>
      <c r="BK10" s="313"/>
      <c r="BL10" s="313"/>
      <c r="BM10" s="313"/>
      <c r="BN10" s="313"/>
      <c r="BO10" s="313"/>
      <c r="BP10" s="313"/>
      <c r="BQ10" s="313"/>
      <c r="BR10" s="313"/>
      <c r="BS10" s="313"/>
    </row>
    <row r="11" spans="2:71" ht="17.25" customHeight="1">
      <c r="B11" s="126"/>
      <c r="C11" s="465" t="s">
        <v>420</v>
      </c>
      <c r="D11" s="466"/>
      <c r="E11" s="466"/>
      <c r="F11" s="466"/>
      <c r="G11" s="466"/>
      <c r="H11" s="466"/>
      <c r="I11" s="467"/>
      <c r="J11" s="465" t="s">
        <v>421</v>
      </c>
      <c r="K11" s="466"/>
      <c r="L11" s="466"/>
      <c r="M11" s="466"/>
      <c r="N11" s="466"/>
      <c r="O11" s="466"/>
      <c r="P11" s="467"/>
      <c r="Q11" s="465" t="s">
        <v>422</v>
      </c>
      <c r="R11" s="466"/>
      <c r="S11" s="466"/>
      <c r="T11" s="466"/>
      <c r="U11" s="466"/>
      <c r="V11" s="466"/>
      <c r="W11" s="467"/>
      <c r="X11" s="465" t="s">
        <v>423</v>
      </c>
      <c r="Y11" s="466"/>
      <c r="Z11" s="466"/>
      <c r="AA11" s="466"/>
      <c r="AB11" s="466"/>
      <c r="AC11" s="466"/>
      <c r="AD11" s="467"/>
      <c r="AE11" s="113"/>
      <c r="AG11" s="109">
        <f>$C$18</f>
        <v>2</v>
      </c>
      <c r="AH11" s="161"/>
      <c r="AI11" s="109">
        <f>$C$26</f>
        <v>18</v>
      </c>
      <c r="AJ11" s="161"/>
      <c r="AK11" s="159">
        <f>$O$52</f>
        <v>33</v>
      </c>
      <c r="AL11" s="160"/>
      <c r="AN11" s="320" t="s">
        <v>424</v>
      </c>
      <c r="AO11" s="321" t="str">
        <f>IF(D7="","",D7)</f>
        <v>Joana Pinto (AE Sertã)</v>
      </c>
      <c r="AP11" s="322">
        <f>H7</f>
        <v>1</v>
      </c>
      <c r="AQ11" s="322">
        <f>IF(AP11="","",(IF(F16="",0,F16)+IF(F22="",0,F22)+IF(F27="",0,F27))-(IF(F17="",0,F17)+IF(F23="",0,F23)+IF(F26="",0,F26)))</f>
        <v>1</v>
      </c>
      <c r="AR11" s="322">
        <f>IF(AP11="","",(IF(F16="",0,SUM(G16:I16))+IF(F22="",0,SUM(G22:I22))+IF(F27="",0,SUM(G27:I27)))-(IF(F17="",0,SUM(G17:I17))+IF(F23="",0,SUM(G23:I23))+IF(F26="",0,SUM(G26:I26))))</f>
        <v>6</v>
      </c>
      <c r="AT11" s="291"/>
      <c r="AU11" s="291"/>
      <c r="AV11" s="290"/>
      <c r="AW11" s="291"/>
      <c r="AX11" s="291"/>
      <c r="AY11" s="290"/>
      <c r="BA11" s="313"/>
      <c r="BB11" s="313"/>
      <c r="BC11" s="313"/>
      <c r="BD11" s="313"/>
      <c r="BE11" s="313"/>
      <c r="BF11" s="313"/>
      <c r="BG11" s="313"/>
      <c r="BH11" s="313"/>
      <c r="BI11" s="313"/>
      <c r="BJ11" s="313"/>
      <c r="BK11" s="313"/>
      <c r="BL11" s="313"/>
      <c r="BM11" s="313"/>
      <c r="BN11" s="313"/>
      <c r="BO11" s="313"/>
      <c r="BP11" s="313"/>
      <c r="BQ11" s="313"/>
      <c r="BR11" s="313"/>
      <c r="BS11" s="313"/>
    </row>
    <row r="12" spans="2:71" ht="15" customHeight="1">
      <c r="B12" s="126"/>
      <c r="C12" s="13" t="s">
        <v>12</v>
      </c>
      <c r="D12" s="463" t="str">
        <f>IF(COUNTIF(H$7:H$10,"")&gt;2,"",IF(LARGE(H$7:H$10,1)&lt;&gt;LARGE(H$7:H$10,2),CHOOSE(MATCH(LARGE(H$7:H$10,1),H$7:H$10,0),D$7,D$8,D$9,D$10),"empate"))</f>
        <v>Joana Pinto (AE Sertã)</v>
      </c>
      <c r="E12" s="463"/>
      <c r="F12" s="463"/>
      <c r="G12" s="463"/>
      <c r="H12" s="463"/>
      <c r="I12" s="14"/>
      <c r="J12" s="13" t="s">
        <v>12</v>
      </c>
      <c r="K12" s="463" t="str">
        <f>IF(COUNTIF(O$7:O$10,"")&gt;2,"",IF(LARGE(O$7:O$10,1)&lt;&gt;LARGE(O$7:O$10,2),CHOOSE(MATCH(LARGE(O$7:O$10,1),O$7:O$10,0),K$7,K$8,K$9,K$10),"empate"))</f>
        <v/>
      </c>
      <c r="L12" s="463"/>
      <c r="M12" s="463"/>
      <c r="N12" s="463"/>
      <c r="O12" s="463"/>
      <c r="P12" s="14"/>
      <c r="Q12" s="13" t="s">
        <v>12</v>
      </c>
      <c r="R12" s="463" t="str">
        <f>IF(COUNTIF(V$7:V$10,"")&gt;2,"",IF(LARGE(V$7:V$10,1)&lt;&gt;LARGE(V$7:V$10,2),CHOOSE(MATCH(LARGE(V$7:V$10,1),V$7:V$10,0),R$7,R$8,R$9,R$10),"empate"))</f>
        <v/>
      </c>
      <c r="S12" s="463"/>
      <c r="T12" s="463"/>
      <c r="U12" s="463"/>
      <c r="V12" s="463"/>
      <c r="W12" s="14"/>
      <c r="X12" s="13" t="s">
        <v>12</v>
      </c>
      <c r="Y12" s="463" t="str">
        <f>IF(COUNTIF(AC$7:AC$10,"")&gt;2,"",IF(LARGE(AC$7:AC$10,1)&lt;&gt;LARGE(AC$7:AC$10,2),CHOOSE(MATCH(LARGE(AC$7:AC$10,1),AC$7:AC$10,0),Y$7,Y$8,Y$9,Y$10),"empate"))</f>
        <v/>
      </c>
      <c r="Z12" s="463"/>
      <c r="AA12" s="463"/>
      <c r="AB12" s="463"/>
      <c r="AC12" s="463"/>
      <c r="AD12" s="14"/>
      <c r="AE12" s="113"/>
      <c r="AG12" s="109">
        <f>$J$16</f>
        <v>3</v>
      </c>
      <c r="AH12" s="161"/>
      <c r="AI12" s="109">
        <f>$J$24</f>
        <v>19</v>
      </c>
      <c r="AJ12" s="161"/>
      <c r="AK12" s="109">
        <f>$O$60</f>
        <v>34</v>
      </c>
      <c r="AL12" s="161"/>
      <c r="AN12" s="323" t="s">
        <v>226</v>
      </c>
      <c r="AO12" s="321" t="str">
        <f>IF(D8="","",D8)</f>
        <v>A2</v>
      </c>
      <c r="AP12" s="324" t="str">
        <f>H8</f>
        <v/>
      </c>
      <c r="AQ12" s="324" t="str">
        <f>IF(AP12="","",(IF(F18="",0,F18)+IF(F23="",0,F23)+IF(F24="",0,F24))-(IF(F19="",0,F19)+IF(F22="",0,F22)+IF(F25="",0,F25)))</f>
        <v/>
      </c>
      <c r="AR12" s="324" t="str">
        <f>IF(AP12="","",(IF(F18="",0,SUM(G18:I18))+IF(F23="",0,SUM(G23:I23))+IF(F24="",0,SUM(G24:I24)))-(IF(F19="",0,SUM(G19:I19))+IF(F22="",0,SUM(G22:I22))+IF(F25="",0,SUM(G25:I25))))</f>
        <v/>
      </c>
      <c r="AS12" s="290"/>
      <c r="AT12" s="291"/>
      <c r="AU12" s="291"/>
      <c r="AV12" s="290"/>
      <c r="AW12" s="291"/>
      <c r="AX12" s="291"/>
      <c r="AY12" s="290"/>
      <c r="BA12" s="175"/>
      <c r="BB12" s="175"/>
    </row>
    <row r="13" spans="2:71" ht="15" customHeight="1">
      <c r="B13" s="126"/>
      <c r="C13" s="13" t="s">
        <v>13</v>
      </c>
      <c r="D13" s="463" t="str">
        <f>IF(COUNTIF(H$7:H$10,"")&gt;2,"",IF(COUNTIF(H$7:H$10,"")=2,CHOOSE(MATCH(LARGE(H$7:H$10,2),H$7:H$10,0),D$7,D$8,D$9,D$10),IF(AND(LARGE(H$7:H$10,2)&lt;&gt;LARGE(H$7:H$10,1),LARGE(H$7:H$10,2)&lt;&gt;LARGE(H$7:H$10,3)),CHOOSE(MATCH(LARGE(H$7:H$10,2),H$7:H$10,0),D$7,D$8,D$9,D$10),"empate")))</f>
        <v>A4</v>
      </c>
      <c r="E13" s="463"/>
      <c r="F13" s="463"/>
      <c r="G13" s="463"/>
      <c r="H13" s="463"/>
      <c r="I13" s="14"/>
      <c r="J13" s="13" t="s">
        <v>13</v>
      </c>
      <c r="K13" s="463" t="str">
        <f>IF(COUNTIF(O$7:O$10,"")&gt;2,"",IF(COUNTIF(O$7:O$10,"")=2,CHOOSE(MATCH(LARGE(O$7:O$10,2),O$7:O$10,0),K$7,K$8,K$9,K$10),IF(AND(LARGE(O$7:O$10,2)&lt;&gt;LARGE(O$7:O$10,1),LARGE(O$7:O$10,2)&lt;&gt;LARGE(O$7:O$10,3)),CHOOSE(MATCH(LARGE(O$7:O$10,2),O$7:O$10,0),K$7,K$8,K$9,K$10),"empate")))</f>
        <v/>
      </c>
      <c r="L13" s="463"/>
      <c r="M13" s="463"/>
      <c r="N13" s="463"/>
      <c r="O13" s="463"/>
      <c r="P13" s="14"/>
      <c r="Q13" s="13" t="s">
        <v>13</v>
      </c>
      <c r="R13" s="463" t="str">
        <f>IF(COUNTIF(V$7:V$10,"")&gt;2,"",IF(COUNTIF(V$7:V$10,"")=2,CHOOSE(MATCH(LARGE(V$7:V$10,2),V$7:V$10,0),R$7,R$8,R$9,R$10),IF(AND(LARGE(V$7:V$10,2)&lt;&gt;LARGE(V$7:V$10,1),LARGE(V$7:V$10,2)&lt;&gt;LARGE(V$7:V$10,3)),CHOOSE(MATCH(LARGE(V$7:V$10,2),V$7:V$10,0),R$7,R$8,R$9,R$10),"empate")))</f>
        <v/>
      </c>
      <c r="S13" s="463"/>
      <c r="T13" s="463"/>
      <c r="U13" s="463"/>
      <c r="V13" s="463"/>
      <c r="W13" s="14"/>
      <c r="X13" s="13" t="s">
        <v>13</v>
      </c>
      <c r="Y13" s="463" t="str">
        <f>IF(COUNTIF(AC$7:AC$10,"")&gt;2,"",IF(COUNTIF(AC$7:AC$10,"")=2,CHOOSE(MATCH(LARGE(AC$7:AC$10,2),AC$7:AC$10,0),Y$7,Y$8,Y$9,Y$10),IF(AND(LARGE(AC$7:AC$10,2)&lt;&gt;LARGE(AC$7:AC$10,1),LARGE(AC$7:AC$10,2)&lt;&gt;LARGE(AC$7:AC$10,3)),CHOOSE(MATCH(LARGE(AC$7:AC$10,2),AC$7:AC$10,0),Y$7,Y$8,Y$9,Y$10),"empate")))</f>
        <v/>
      </c>
      <c r="Z13" s="463"/>
      <c r="AA13" s="463"/>
      <c r="AB13" s="463"/>
      <c r="AC13" s="463"/>
      <c r="AD13" s="14"/>
      <c r="AE13" s="113"/>
      <c r="AG13" s="109">
        <f>$J$18</f>
        <v>4</v>
      </c>
      <c r="AH13" s="161"/>
      <c r="AI13" s="109">
        <f>$J$26</f>
        <v>20</v>
      </c>
      <c r="AJ13" s="161"/>
      <c r="AK13" s="109">
        <f>$V$56</f>
        <v>35</v>
      </c>
      <c r="AL13" s="161"/>
      <c r="AN13" s="323" t="s">
        <v>227</v>
      </c>
      <c r="AO13" s="321" t="str">
        <f>IF(D9="","",D9)</f>
        <v>A3</v>
      </c>
      <c r="AP13" s="324" t="str">
        <f>H9</f>
        <v/>
      </c>
      <c r="AQ13" s="324" t="str">
        <f>IF(AP13="","",(IF(F19="",0,F19)+IF(F21="",0,F21)+IF(F26="",0,F26))-(IF(F18="",0,F18)+IF(F20="",0,F20)+IF(F27="",0,F27)))</f>
        <v/>
      </c>
      <c r="AR13" s="324" t="str">
        <f>IF(AP13="","",(IF(F19="",0,SUM(G19:I19))+IF(F21="",0,SUM(G21:I21))+IF(F26="",0,SUM(G26:I26)))-(IF(F18="",0,SUM(G18:I18))+IF(F20="",0,SUM(G20:I20))+IF(F27="",0,SUM(G27:I27))))</f>
        <v/>
      </c>
      <c r="AS13" s="290"/>
      <c r="AT13" s="291"/>
      <c r="AU13" s="291"/>
      <c r="AV13" s="290"/>
      <c r="AW13" s="291"/>
      <c r="AX13" s="291"/>
      <c r="AY13" s="290"/>
    </row>
    <row r="14" spans="2:71" ht="15" customHeight="1" thickBot="1">
      <c r="B14" s="126"/>
      <c r="C14" s="6" t="s">
        <v>14</v>
      </c>
      <c r="D14" s="464" t="str">
        <f>IF(COUNTIF(H$7:H$10,"")&gt;=2,"",IF(COUNTIF(H$7:H$10,"")=1,IF(LARGE(H$7:H$10,3)&lt;&gt;LARGE(H$7:H$10,2),CHOOSE(MATCH(LARGE(H$7:H$10,3),H$7:H$10,0),D$7,D$8,D$9,D$10),"empate"),IF(AND(LARGE(H$7:H$10,3)&lt;&gt;LARGE(H$7:H$10,2),LARGE(H$7:H$10,3)&lt;&gt;LARGE(H$7:H$10,4)),CHOOSE(MATCH(LARGE(H$7:H$10,3),H$7:H$10,0),D$7,D$8,D$9,D$10),"empate")))</f>
        <v/>
      </c>
      <c r="E14" s="464"/>
      <c r="F14" s="464"/>
      <c r="G14" s="464"/>
      <c r="H14" s="464"/>
      <c r="I14" s="12"/>
      <c r="J14" s="15" t="s">
        <v>14</v>
      </c>
      <c r="K14" s="464" t="str">
        <f>IF(COUNTIF(O$7:O$10,"")&gt;=2,"",IF(COUNTIF(O$7:O$10,"")=1,IF(LARGE(O$7:O$10,3)&lt;&gt;LARGE(O$7:O$10,2),CHOOSE(MATCH(LARGE(O$7:O$10,3),O$7:O$10,0),K$7,K$8,K$9,K$10),"empate"),IF(AND(LARGE(O$7:O$10,3)&lt;&gt;LARGE(O$7:O$10,2),LARGE(O$7:O$10,3)&lt;&gt;LARGE(O$7:O$10,4)),CHOOSE(MATCH(LARGE(O$7:O$10,3),O$7:O$10,0),K$7,K$8,K$9,K$10),"empate")))</f>
        <v/>
      </c>
      <c r="L14" s="464"/>
      <c r="M14" s="464"/>
      <c r="N14" s="464"/>
      <c r="O14" s="464"/>
      <c r="P14" s="16"/>
      <c r="Q14" s="6" t="s">
        <v>14</v>
      </c>
      <c r="R14" s="464" t="str">
        <f>IF(COUNTIF(V$7:V$10,"")&gt;=2,"",IF(COUNTIF(V$7:V$10,"")=1,IF(LARGE(V$7:V$10,3)&lt;&gt;LARGE(V$7:V$10,2),CHOOSE(MATCH(LARGE(V$7:V$10,3),V$7:V$10,0),R$7,R$8,R$9,R$10),"empate"),IF(AND(LARGE(V$7:V$10,3)&lt;&gt;LARGE(V$7:V$10,2),LARGE(V$7:V$10,3)&lt;&gt;LARGE(V$7:V$10,4)),CHOOSE(MATCH(LARGE(V$7:V$10,3),V$7:V$10,0),R$7,R$8,R$9,R$10),"empate")))</f>
        <v/>
      </c>
      <c r="S14" s="464"/>
      <c r="T14" s="464"/>
      <c r="U14" s="464"/>
      <c r="V14" s="464"/>
      <c r="W14" s="12"/>
      <c r="X14" s="6" t="s">
        <v>14</v>
      </c>
      <c r="Y14" s="464" t="str">
        <f>IF(COUNTIF(AC$7:AC$10,"")&gt;=2,"",IF(COUNTIF(AC$7:AC$10,"")=1,IF(LARGE(AC$7:AC$10,3)&lt;&gt;LARGE(AC$7:AC$10,2),CHOOSE(MATCH(LARGE(AC$7:AC$10,3),AC$7:AC$10,0),Y$7,Y$8,Y$9,Y$10),"empate"),IF(AND(LARGE(AC$7:AC$10,3)&lt;&gt;LARGE(AC$7:AC$10,2),LARGE(AC$7:AC$10,3)&lt;&gt;LARGE(AC$7:AC$10,4)),CHOOSE(MATCH(LARGE(AC$7:AC$10,3),AC$7:AC$10,0),Y$7,Y$8,Y$9,Y$10),"empate")))</f>
        <v/>
      </c>
      <c r="Z14" s="464"/>
      <c r="AA14" s="464"/>
      <c r="AB14" s="464"/>
      <c r="AC14" s="464"/>
      <c r="AD14" s="12"/>
      <c r="AE14" s="113"/>
      <c r="AG14" s="109">
        <f>$Q$16</f>
        <v>5</v>
      </c>
      <c r="AH14" s="161"/>
      <c r="AI14" s="109">
        <f>$Q$24</f>
        <v>21</v>
      </c>
      <c r="AJ14" s="161"/>
      <c r="AK14" s="130">
        <f>$W$56</f>
        <v>36</v>
      </c>
      <c r="AL14" s="163"/>
      <c r="AN14" s="325" t="s">
        <v>251</v>
      </c>
      <c r="AO14" s="326" t="str">
        <f>IF(D10="","",D10)</f>
        <v>A4</v>
      </c>
      <c r="AP14" s="324">
        <f>H10</f>
        <v>0</v>
      </c>
      <c r="AQ14" s="326">
        <f>IF(AP14="","",(IF(F17="",0,F17)+IF(F20="",0,F20)+IF(F25="",0,F25))-(IF(F16="",0,F16)+IF(F21="",0,F21)+IF(F24="",0,F24)))</f>
        <v>-1</v>
      </c>
      <c r="AR14" s="326">
        <f>IF(AP14="","",(IF(F17="",0,SUM(G17:I17))+IF(F20="",0,SUM(G20:I20))+IF(F25="",0,SUM(G25:I25)))-(IF(F16="",0,SUM(G16:I16))+IF(F21="",0,SUM(G21:I21))+IF(F24="",0,SUM(G24:I24))))</f>
        <v>-6</v>
      </c>
      <c r="AS14" s="290"/>
      <c r="AT14" s="291"/>
      <c r="AU14" s="291"/>
      <c r="AV14" s="290"/>
      <c r="AW14" s="291"/>
      <c r="AX14" s="291"/>
      <c r="AY14" s="290"/>
    </row>
    <row r="15" spans="2:71" ht="19.5" customHeight="1" thickBot="1">
      <c r="B15" s="126"/>
      <c r="C15" s="17" t="s">
        <v>15</v>
      </c>
      <c r="D15" s="453" t="str">
        <f>IF(COUNTIF(H$7:H$10,"")&gt;=1,"",IF(LARGE(H$7:H$10,4)&lt;&gt;LARGE(H$7:H$10,3),CHOOSE(MATCH(LARGE(H$7:H$10,4),H$7:H$10,0),D$7,D$8,D$9,D$10),"empate"))</f>
        <v/>
      </c>
      <c r="E15" s="453"/>
      <c r="F15" s="453"/>
      <c r="G15" s="453"/>
      <c r="H15" s="453"/>
      <c r="I15" s="18"/>
      <c r="J15" s="19" t="s">
        <v>15</v>
      </c>
      <c r="K15" s="453" t="str">
        <f>IF(COUNTIF(O$7:O$10,"")&gt;=1,"",IF(LARGE(O$7:O$10,4)&lt;&gt;LARGE(O$7:O$10,3),CHOOSE(MATCH(LARGE(O$7:O$10,4),O$7:O$10,0),K$7,K$8,K$9,K$10),"empate"))</f>
        <v/>
      </c>
      <c r="L15" s="453"/>
      <c r="M15" s="453"/>
      <c r="N15" s="453"/>
      <c r="O15" s="453"/>
      <c r="P15" s="20"/>
      <c r="Q15" s="17" t="s">
        <v>15</v>
      </c>
      <c r="R15" s="453" t="str">
        <f>IF(COUNTIF(V$7:V$10,"")&gt;=1,"",IF(LARGE(V$7:V$10,4)&lt;&gt;LARGE(V$7:V$10,3),CHOOSE(MATCH(LARGE(V$7:V$10,4),V$7:V$10,0),R$7,R$8,R$9,R$10),"empate"))</f>
        <v/>
      </c>
      <c r="S15" s="453"/>
      <c r="T15" s="453"/>
      <c r="U15" s="453"/>
      <c r="V15" s="453"/>
      <c r="W15" s="18"/>
      <c r="X15" s="17" t="s">
        <v>15</v>
      </c>
      <c r="Y15" s="453" t="str">
        <f>IF(COUNTIF(AC$7:AC$10,"")&gt;=1,"",IF(LARGE(AC$7:AC$10,4)&lt;&gt;LARGE(AC$7:AC$10,3),CHOOSE(MATCH(LARGE(AC$7:AC$10,4),AC$7:AC$10,0),Y$7,Y$8,Y$9,Y$10),"empate"))</f>
        <v/>
      </c>
      <c r="Z15" s="453"/>
      <c r="AA15" s="453"/>
      <c r="AB15" s="453"/>
      <c r="AC15" s="453"/>
      <c r="AD15" s="18"/>
      <c r="AE15" s="113"/>
      <c r="AG15" s="109">
        <f>$Q$18</f>
        <v>6</v>
      </c>
      <c r="AH15" s="161"/>
      <c r="AI15" s="109">
        <f>$Q$26</f>
        <v>22</v>
      </c>
      <c r="AJ15" s="161"/>
      <c r="AK15" s="454" t="s">
        <v>223</v>
      </c>
      <c r="AL15" s="455"/>
      <c r="AN15" s="327" t="s">
        <v>228</v>
      </c>
      <c r="AO15" s="328" t="str">
        <f>IF(K7="","",K7)</f>
        <v>B1</v>
      </c>
      <c r="AP15" s="329" t="str">
        <f>O7</f>
        <v/>
      </c>
      <c r="AQ15" s="329" t="str">
        <f>IF(AP15="","",(IF(M16="",0,M16)+IF(M22="",0,M22)+IF(M27="",0,M27))-(IF(M17="",0,M17)+IF(M23="",0,M23)+IF(M26="",0,M26)))</f>
        <v/>
      </c>
      <c r="AR15" s="329" t="str">
        <f>IF(AP15="","",(IF(M16="",0,SUM(N16:P16))+IF(M22="",0,SUM(N22:P22))+IF(M27="",0,SUM(N27:P27)))-(IF(M17="",0,SUM(N17:P17))+IF(M23="",0,SUM(N23:P23))+IF(M26="",0,SUM(N26:P26))))</f>
        <v/>
      </c>
      <c r="AS15" s="290"/>
      <c r="AT15" s="291"/>
      <c r="AU15" s="291"/>
      <c r="AV15" s="290"/>
      <c r="AW15" s="291"/>
      <c r="AX15" s="291"/>
      <c r="AY15" s="290"/>
    </row>
    <row r="16" spans="2:71" ht="15" customHeight="1">
      <c r="B16" s="126"/>
      <c r="C16" s="456">
        <v>1</v>
      </c>
      <c r="D16" s="458" t="str">
        <f>IF(OR(D7="",D10=""),"",D7)</f>
        <v>Joana Pinto (AE Sertã)</v>
      </c>
      <c r="E16" s="458"/>
      <c r="F16" s="21">
        <f>IF(COUNT(G16:I16)&lt;1,"",IF(SUM(IF(G16&gt;G17,1,0),IF(H16&gt;H17,1,0),IF(I16&gt;I17,1,0))&gt;2,"??",SUM(IF(G16&gt;G17,1,0),IF(H16&gt;H17,1,0),IF(I16&gt;I17,1,0))))</f>
        <v>2</v>
      </c>
      <c r="G16" s="138">
        <v>21</v>
      </c>
      <c r="H16" s="139">
        <v>15</v>
      </c>
      <c r="I16" s="140">
        <v>21</v>
      </c>
      <c r="J16" s="459">
        <v>3</v>
      </c>
      <c r="K16" s="458" t="str">
        <f>IF(OR(K7="",K10=""),"",K7)</f>
        <v>B1</v>
      </c>
      <c r="L16" s="458"/>
      <c r="M16" s="21" t="str">
        <f>IF(COUNT(N16:P16)&lt;1,"",IF(SUM(IF(N16&gt;N17,1,0),IF(O16&gt;O17,1,0),IF(P16&gt;P17,1,0))&gt;2,"??",SUM(IF(N16&gt;N17,1,0),IF(O16&gt;O17,1,0),IF(P16&gt;P17,1,0))))</f>
        <v/>
      </c>
      <c r="N16" s="138"/>
      <c r="O16" s="139"/>
      <c r="P16" s="140"/>
      <c r="Q16" s="459">
        <v>5</v>
      </c>
      <c r="R16" s="458" t="str">
        <f>IF(OR(R7="",R10=""),"",R7)</f>
        <v>C1</v>
      </c>
      <c r="S16" s="458"/>
      <c r="T16" s="21" t="str">
        <f>IF(COUNT(U16:W16)&lt;1,"",IF(SUM(IF(U16&gt;U17,1,0),IF(V16&gt;V17,1,0),IF(W16&gt;W17,1,0))&gt;2,"??",SUM(IF(U16&gt;U17,1,0),IF(V16&gt;V17,1,0),IF(W16&gt;W17,1,0))))</f>
        <v/>
      </c>
      <c r="U16" s="138"/>
      <c r="V16" s="139"/>
      <c r="W16" s="140"/>
      <c r="X16" s="459">
        <v>7</v>
      </c>
      <c r="Y16" s="458" t="str">
        <f>IF(OR(Y7="",Y10=""),"",Y7)</f>
        <v>D1</v>
      </c>
      <c r="Z16" s="458"/>
      <c r="AA16" s="21" t="str">
        <f>IF(COUNT(AB16:AD16)&lt;1,"",IF(SUM(IF(AB16&gt;AB17,1,0),IF(AC16&gt;AC17,1,0),IF(AD16&gt;AD17,1,0))&gt;2,"??",SUM(IF(AB16&gt;AB17,1,0),IF(AC16&gt;AC17,1,0),IF(AD16&gt;AD17,1,0))))</f>
        <v/>
      </c>
      <c r="AB16" s="138"/>
      <c r="AC16" s="139"/>
      <c r="AD16" s="140"/>
      <c r="AE16" s="461" t="s">
        <v>43</v>
      </c>
      <c r="AG16" s="109">
        <f>$X$16</f>
        <v>7</v>
      </c>
      <c r="AH16" s="161"/>
      <c r="AI16" s="109">
        <f>$X$24</f>
        <v>23</v>
      </c>
      <c r="AJ16" s="161"/>
      <c r="AK16" s="159">
        <f>$O$70</f>
        <v>37</v>
      </c>
      <c r="AL16" s="160"/>
      <c r="AN16" s="330" t="s">
        <v>229</v>
      </c>
      <c r="AO16" s="331" t="str">
        <f>IF(K8="","",K8)</f>
        <v>B2</v>
      </c>
      <c r="AP16" s="331" t="str">
        <f>O8</f>
        <v/>
      </c>
      <c r="AQ16" s="331" t="str">
        <f>IF(AP16="","",(IF(M18="",0,M18)+IF(M23="",0,M23)+IF(M24="",0,M24))-(IF(M19="",0,M19)+IF(M22="",0,M22)+IF(M25="",0,M25)))</f>
        <v/>
      </c>
      <c r="AR16" s="331" t="str">
        <f>IF(AP16="","",(IF(M18="",0,SUM(N18:P18))+IF(M23="",0,SUM(N23:P23))+IF(M24="",0,SUM(N24:P24)))-(IF(M19="",0,SUM(N19:P19))+IF(M22="",0,SUM(N22:P22))+IF(M25="",0,SUM(N25:P25))))</f>
        <v/>
      </c>
      <c r="AS16" s="290"/>
      <c r="AT16" s="317"/>
      <c r="AU16" s="291"/>
      <c r="AV16" s="290"/>
      <c r="AW16" s="291"/>
      <c r="AX16" s="291"/>
      <c r="AY16" s="290"/>
    </row>
    <row r="17" spans="2:51" ht="15" customHeight="1">
      <c r="B17" s="126"/>
      <c r="C17" s="457"/>
      <c r="D17" s="437" t="str">
        <f>IF(OR(D7="",D10=""),"",D10)</f>
        <v>A4</v>
      </c>
      <c r="E17" s="437"/>
      <c r="F17" s="22">
        <f>IF(COUNT(G17:I17)&lt;1,"",IF(SUM(IF(G17&gt;G16,1,0),IF(H17&gt;H16,1,0),IF(I17&gt;I16,1,0))&gt;2,"??",SUM(IF(G17&gt;G16,1,0),IF(H17&gt;H16,1,0),IF(I17&gt;I16,1,0))))</f>
        <v>1</v>
      </c>
      <c r="G17" s="141">
        <v>12</v>
      </c>
      <c r="H17" s="142">
        <v>21</v>
      </c>
      <c r="I17" s="143">
        <v>18</v>
      </c>
      <c r="J17" s="460"/>
      <c r="K17" s="437" t="str">
        <f>IF(OR(K7="",K10=""),"",K10)</f>
        <v>B4</v>
      </c>
      <c r="L17" s="437"/>
      <c r="M17" s="22" t="str">
        <f>IF(COUNT(N17:P17)&lt;1,"",IF(SUM(IF(N17&gt;N16,1,0),IF(O17&gt;O16,1,0),IF(P17&gt;P16,1,0))&gt;2,"??",SUM(IF(N17&gt;N16,1,0),IF(O17&gt;O16,1,0),IF(P17&gt;P16,1,0))))</f>
        <v/>
      </c>
      <c r="N17" s="141"/>
      <c r="O17" s="142"/>
      <c r="P17" s="143"/>
      <c r="Q17" s="460"/>
      <c r="R17" s="437" t="str">
        <f>IF(OR(R7="",R10=""),"",R10)</f>
        <v>C4</v>
      </c>
      <c r="S17" s="437"/>
      <c r="T17" s="22" t="str">
        <f>IF(COUNT(U17:W17)&lt;1,"",IF(SUM(IF(U17&gt;U16,1,0),IF(V17&gt;V16,1,0),IF(W17&gt;W16,1,0))&gt;2,"??",SUM(IF(U17&gt;U16,1,0),IF(V17&gt;V16,1,0),IF(W17&gt;W16,1,0))))</f>
        <v/>
      </c>
      <c r="U17" s="141"/>
      <c r="V17" s="142"/>
      <c r="W17" s="143"/>
      <c r="X17" s="460"/>
      <c r="Y17" s="437" t="str">
        <f>IF(OR(Y7="",Y10=""),"",Y10)</f>
        <v>D4</v>
      </c>
      <c r="Z17" s="437"/>
      <c r="AA17" s="22" t="str">
        <f>IF(COUNT(AB17:AD17)&lt;1,"",IF(SUM(IF(AB17&gt;AB16,1,0),IF(AC17&gt;AC16,1,0),IF(AD17&gt;AD16,1,0))&gt;2,"??",SUM(IF(AB17&gt;AB16,1,0),IF(AC17&gt;AC16,1,0),IF(AD17&gt;AD16,1,0))))</f>
        <v/>
      </c>
      <c r="AB17" s="141"/>
      <c r="AC17" s="142"/>
      <c r="AD17" s="143"/>
      <c r="AE17" s="435"/>
      <c r="AG17" s="109">
        <f>$X$18</f>
        <v>8</v>
      </c>
      <c r="AH17" s="161"/>
      <c r="AI17" s="109">
        <f>$X$26</f>
        <v>24</v>
      </c>
      <c r="AJ17" s="161"/>
      <c r="AK17" s="109">
        <f>$O$78</f>
        <v>38</v>
      </c>
      <c r="AL17" s="161"/>
      <c r="AN17" s="330" t="s">
        <v>230</v>
      </c>
      <c r="AO17" s="331" t="str">
        <f>IF(K9="","",K9)</f>
        <v>B3</v>
      </c>
      <c r="AP17" s="331" t="str">
        <f>O9</f>
        <v/>
      </c>
      <c r="AQ17" s="331" t="str">
        <f>IF(AP17="","",(IF(M19="",0,M19)+IF(M21="",0,M21)+IF(M26="",0,M26))-(IF(M18="",0,M18)+IF(M20="",0,M20)+IF(M27="",0,M27)))</f>
        <v/>
      </c>
      <c r="AR17" s="331" t="str">
        <f>IF(AP17="","",(IF(M19="",0,SUM(N19:P19))+IF(M21="",0,SUM(N21:P21))+IF(M26="",0,SUM(N26:P26)))-(IF(M18="",0,SUM(N18:P18))+IF(M20="",0,SUM(N20:P20))+IF(M27="",0,SUM(N27:P27))))</f>
        <v/>
      </c>
      <c r="AS17" s="290"/>
      <c r="AT17" s="291"/>
      <c r="AU17" s="291"/>
      <c r="AV17" s="290"/>
      <c r="AW17" s="291"/>
      <c r="AX17" s="291"/>
      <c r="AY17" s="290"/>
    </row>
    <row r="18" spans="2:51" ht="15" customHeight="1">
      <c r="B18" s="126"/>
      <c r="C18" s="428">
        <v>2</v>
      </c>
      <c r="D18" s="430" t="str">
        <f>IF(OR(D8="",D9=""),"",D8)</f>
        <v>A2</v>
      </c>
      <c r="E18" s="430"/>
      <c r="F18" s="23" t="str">
        <f>IF(COUNT(G18:I18)&lt;1,"",IF(SUM(IF(G18&gt;G19,1,0),IF(H18&gt;H19,1,0),IF(I18&gt;I19,1,0))&gt;2,"??",SUM(IF(G18&gt;G19,1,0),IF(H18&gt;H19,1,0),IF(I18&gt;I19,1,0))))</f>
        <v/>
      </c>
      <c r="G18" s="144"/>
      <c r="H18" s="145"/>
      <c r="I18" s="146"/>
      <c r="J18" s="428">
        <v>4</v>
      </c>
      <c r="K18" s="430" t="str">
        <f>IF(OR(K8="",K9=""),"",K8)</f>
        <v>B2</v>
      </c>
      <c r="L18" s="430"/>
      <c r="M18" s="23" t="str">
        <f>IF(COUNT(N18:P18)&lt;1,"",IF(SUM(IF(N18&gt;N19,1,0),IF(O18&gt;O19,1,0),IF(P18&gt;P19,1,0))&gt;2,"??",SUM(IF(N18&gt;N19,1,0),IF(O18&gt;O19,1,0),IF(P18&gt;P19,1,0))))</f>
        <v/>
      </c>
      <c r="N18" s="144"/>
      <c r="O18" s="145"/>
      <c r="P18" s="146"/>
      <c r="Q18" s="428">
        <v>6</v>
      </c>
      <c r="R18" s="430" t="str">
        <f>IF(OR(R8="",R9=""),"",R8)</f>
        <v>C2</v>
      </c>
      <c r="S18" s="430"/>
      <c r="T18" s="23" t="str">
        <f>IF(COUNT(U18:W18)&lt;1,"",IF(SUM(IF(U18&gt;U19,1,0),IF(V18&gt;V19,1,0),IF(W18&gt;W19,1,0))&gt;2,"??",SUM(IF(U18&gt;U19,1,0),IF(V18&gt;V19,1,0),IF(W18&gt;W19,1,0))))</f>
        <v/>
      </c>
      <c r="U18" s="144"/>
      <c r="V18" s="145"/>
      <c r="W18" s="146"/>
      <c r="X18" s="428">
        <v>8</v>
      </c>
      <c r="Y18" s="430" t="str">
        <f>IF(OR(Y8="",Y9=""),"",Y8)</f>
        <v>D2</v>
      </c>
      <c r="Z18" s="430"/>
      <c r="AA18" s="23" t="str">
        <f>IF(COUNT(AB18:AD18)&lt;1,"",IF(SUM(IF(AB18&gt;AB19,1,0),IF(AC18&gt;AC19,1,0),IF(AD18&gt;AD19,1,0))&gt;2,"??",SUM(IF(AB18&gt;AB19,1,0),IF(AC18&gt;AC19,1,0),IF(AD18&gt;AD19,1,0))))</f>
        <v/>
      </c>
      <c r="AB18" s="144"/>
      <c r="AC18" s="145"/>
      <c r="AD18" s="146"/>
      <c r="AE18" s="435"/>
      <c r="AG18" s="131">
        <f>$C$20</f>
        <v>9</v>
      </c>
      <c r="AH18" s="162"/>
      <c r="AI18" s="131">
        <f>$H$31</f>
        <v>25</v>
      </c>
      <c r="AJ18" s="162"/>
      <c r="AK18" s="109">
        <f>$V$74</f>
        <v>39</v>
      </c>
      <c r="AL18" s="161"/>
      <c r="AN18" s="332" t="s">
        <v>231</v>
      </c>
      <c r="AO18" s="333" t="str">
        <f>IF(K10="","",K10)</f>
        <v>B4</v>
      </c>
      <c r="AP18" s="331" t="str">
        <f>O10</f>
        <v/>
      </c>
      <c r="AQ18" s="333" t="str">
        <f>IF(AP18="","",(IF(M17="",0,M17)+IF(M20="",0,M20)+IF(M25="",0,M25))-(IF(M16="",0,M16)+IF(M21="",0,M21)+IF(M24="",0,M24)))</f>
        <v/>
      </c>
      <c r="AR18" s="333" t="str">
        <f>IF(AP18="","",(IF(M17="",0,SUM(N17:P17))+IF(M20="",0,SUM(N20:P20))+IF(M25="",0,SUM(N25:P25)))-(IF(M16="",0,SUM(N16:P16))+IF(M21="",0,SUM(N21:P21))+IF(M24="",0,SUM(N24:P24))))</f>
        <v/>
      </c>
      <c r="AS18" s="290"/>
      <c r="AT18" s="291"/>
      <c r="AU18" s="291"/>
      <c r="AV18" s="290"/>
      <c r="AW18" s="291"/>
      <c r="AX18" s="291"/>
      <c r="AY18" s="290"/>
    </row>
    <row r="19" spans="2:51" ht="15" customHeight="1" thickBot="1">
      <c r="B19" s="126"/>
      <c r="C19" s="451"/>
      <c r="D19" s="452" t="str">
        <f>IF(OR(D8="",D9=""),"",D9)</f>
        <v>A3</v>
      </c>
      <c r="E19" s="452"/>
      <c r="F19" s="24" t="str">
        <f>IF(COUNT(G19:I19)&lt;1,"",IF(SUM(IF(G19&gt;G18,1,0),IF(H19&gt;H18,1,0),IF(I19&gt;I18,1,0))&gt;2,"??",SUM(IF(G19&gt;G18,1,0),IF(H19&gt;H18,1,0),IF(I19&gt;I18,1,0))))</f>
        <v/>
      </c>
      <c r="G19" s="147"/>
      <c r="H19" s="148"/>
      <c r="I19" s="149"/>
      <c r="J19" s="451"/>
      <c r="K19" s="452" t="str">
        <f>IF(OR(K8="",K9=""),"",K9)</f>
        <v>B3</v>
      </c>
      <c r="L19" s="452"/>
      <c r="M19" s="24" t="str">
        <f>IF(COUNT(N19:P19)&lt;1,"",IF(SUM(IF(N19&gt;N18,1,0),IF(O19&gt;O18,1,0),IF(P19&gt;P18,1,0))&gt;2,"??",SUM(IF(N19&gt;N18,1,0),IF(O19&gt;O18,1,0),IF(P19&gt;P18,1,0))))</f>
        <v/>
      </c>
      <c r="N19" s="147"/>
      <c r="O19" s="148"/>
      <c r="P19" s="149"/>
      <c r="Q19" s="451"/>
      <c r="R19" s="452" t="str">
        <f>IF(OR(R8="",R9=""),"",R9)</f>
        <v>C3</v>
      </c>
      <c r="S19" s="452"/>
      <c r="T19" s="24" t="str">
        <f>IF(COUNT(U19:W19)&lt;1,"",IF(SUM(IF(U19&gt;U18,1,0),IF(V19&gt;V18,1,0),IF(W19&gt;W18,1,0))&gt;2,"??",SUM(IF(U19&gt;U18,1,0),IF(V19&gt;V18,1,0),IF(W19&gt;W18,1,0))))</f>
        <v/>
      </c>
      <c r="U19" s="147"/>
      <c r="V19" s="148"/>
      <c r="W19" s="149"/>
      <c r="X19" s="451"/>
      <c r="Y19" s="452" t="str">
        <f>IF(OR(Y8="",Y9=""),"",Y9)</f>
        <v>D3</v>
      </c>
      <c r="Z19" s="452"/>
      <c r="AA19" s="24" t="str">
        <f>IF(COUNT(AB19:AD19)&lt;1,"",IF(SUM(IF(AB19&gt;AB18,1,0),IF(AC19&gt;AC18,1,0),IF(AD19&gt;AD18,1,0))&gt;2,"??",SUM(IF(AB19&gt;AB18,1,0),IF(AC19&gt;AC18,1,0),IF(AD19&gt;AD18,1,0))))</f>
        <v/>
      </c>
      <c r="AB19" s="147"/>
      <c r="AC19" s="148"/>
      <c r="AD19" s="149"/>
      <c r="AE19" s="462"/>
      <c r="AG19" s="109">
        <f>$C$22</f>
        <v>10</v>
      </c>
      <c r="AH19" s="161"/>
      <c r="AI19" s="109">
        <f>$H$35</f>
        <v>26</v>
      </c>
      <c r="AJ19" s="161"/>
      <c r="AK19" s="130">
        <f>$W$74</f>
        <v>40</v>
      </c>
      <c r="AL19" s="163"/>
      <c r="AN19" s="334" t="s">
        <v>232</v>
      </c>
      <c r="AO19" s="322" t="str">
        <f>IF(R7="","",R7)</f>
        <v>C1</v>
      </c>
      <c r="AP19" s="322" t="str">
        <f>V7</f>
        <v/>
      </c>
      <c r="AQ19" s="335" t="str">
        <f>IF(AP19="","",(IF(T16="",0,T16)+IF(T22="",0,T22)+IF(T27="",0,T27))-(IF(T17="",0,T17)+IF(T23="",0,T23)+IF(T26="",0,T26)))</f>
        <v/>
      </c>
      <c r="AR19" s="322" t="str">
        <f>IF(AP19="","",(IF(T16="",0,SUM(U16:W16))+IF(T22="",0,SUM(U22:W22))+IF(T27="",0,SUM(U27:W27)))-(IF(T17="",0,SUM(U17:W17))+IF(T23="",0,SUM(U23:W23))+IF(T26="",0,SUM(U26:W26))))</f>
        <v/>
      </c>
      <c r="AS19" s="290"/>
      <c r="AT19" s="291"/>
      <c r="AU19" s="291"/>
      <c r="AV19" s="290"/>
      <c r="AW19" s="291"/>
      <c r="AX19" s="291"/>
      <c r="AY19" s="290"/>
    </row>
    <row r="20" spans="2:51" ht="15" customHeight="1" thickTop="1" thickBot="1">
      <c r="B20" s="126"/>
      <c r="C20" s="448">
        <v>9</v>
      </c>
      <c r="D20" s="450" t="str">
        <f>IF(OR(D9="",D10=""),"",D10)</f>
        <v>A4</v>
      </c>
      <c r="E20" s="450"/>
      <c r="F20" s="25" t="str">
        <f>IF(COUNT(G20:I20)&lt;1,"",IF(SUM(IF(G20&gt;G21,1,0),IF(H20&gt;H21,1,0),IF(I20&gt;I21,1,0))&gt;2,"??",SUM(IF(G20&gt;G21,1,0),IF(H20&gt;H21,1,0),IF(I20&gt;I21,1,0))))</f>
        <v/>
      </c>
      <c r="G20" s="150"/>
      <c r="H20" s="151"/>
      <c r="I20" s="152"/>
      <c r="J20" s="448">
        <v>11</v>
      </c>
      <c r="K20" s="450" t="str">
        <f>IF(OR(K9="",K10=""),"",K10)</f>
        <v>B4</v>
      </c>
      <c r="L20" s="450"/>
      <c r="M20" s="25" t="str">
        <f>IF(COUNT(N20:P20)&lt;1,"",IF(SUM(IF(N20&gt;N21,1,0),IF(O20&gt;O21,1,0),IF(P20&gt;P21,1,0))&gt;2,"??",SUM(IF(N20&gt;N21,1,0),IF(O20&gt;O21,1,0),IF(P20&gt;P21,1,0))))</f>
        <v/>
      </c>
      <c r="N20" s="150"/>
      <c r="O20" s="151"/>
      <c r="P20" s="152"/>
      <c r="Q20" s="448">
        <v>13</v>
      </c>
      <c r="R20" s="450" t="str">
        <f>IF(OR(R9="",R10=""),"",R10)</f>
        <v>C4</v>
      </c>
      <c r="S20" s="450"/>
      <c r="T20" s="25" t="str">
        <f>IF(COUNT(U20:W20)&lt;1,"",IF(SUM(IF(U20&gt;U21,1,0),IF(V20&gt;V21,1,0),IF(W20&gt;W21,1,0))&gt;2,"??",SUM(IF(U20&gt;U21,1,0),IF(V20&gt;V21,1,0),IF(W20&gt;W21,1,0))))</f>
        <v/>
      </c>
      <c r="U20" s="150"/>
      <c r="V20" s="151"/>
      <c r="W20" s="152"/>
      <c r="X20" s="448">
        <v>15</v>
      </c>
      <c r="Y20" s="450" t="str">
        <f>IF(OR(Y9="",Y10=""),"",Y10)</f>
        <v>D4</v>
      </c>
      <c r="Z20" s="450"/>
      <c r="AA20" s="25" t="str">
        <f>IF(COUNT(AB20:AD20)&lt;1,"",IF(SUM(IF(AB20&gt;AB21,1,0),IF(AC20&gt;AC21,1,0),IF(AD20&gt;AD21,1,0))&gt;2,"??",SUM(IF(AB20&gt;AB21,1,0),IF(AC20&gt;AC21,1,0),IF(AD20&gt;AD21,1,0))))</f>
        <v/>
      </c>
      <c r="AB20" s="150"/>
      <c r="AC20" s="151"/>
      <c r="AD20" s="152"/>
      <c r="AE20" s="442" t="s">
        <v>44</v>
      </c>
      <c r="AG20" s="109">
        <f>$J$20</f>
        <v>11</v>
      </c>
      <c r="AH20" s="161"/>
      <c r="AI20" s="109">
        <f>$H$39</f>
        <v>27</v>
      </c>
      <c r="AJ20" s="161"/>
      <c r="AK20" s="445" t="s">
        <v>246</v>
      </c>
      <c r="AL20" s="446"/>
      <c r="AN20" s="323" t="s">
        <v>233</v>
      </c>
      <c r="AO20" s="324" t="str">
        <f>IF(R8="","",R8)</f>
        <v>C2</v>
      </c>
      <c r="AP20" s="324" t="str">
        <f>V8</f>
        <v/>
      </c>
      <c r="AQ20" s="336" t="str">
        <f>IF(AP20="","",(IF(T18="",0,T18)+IF(T23="",0,T23)+IF(T24="",0,T24))-(IF(T19="",0,T19)+IF(T22="",0,T22)+IF(T25="",0,T25)))</f>
        <v/>
      </c>
      <c r="AR20" s="324" t="str">
        <f>IF(AP20="","",(IF(T18="",0,SUM(U18:W18))+IF(T23="",0,SUM(U23:W23))+IF(T24="",0,SUM(U24:W24)))-(IF(T19="",0,SUM(U19:W19))+IF(T22="",0,SUM(U22:W22))+IF(T25="",0,SUM(U25:W25))))</f>
        <v/>
      </c>
      <c r="AS20" s="290"/>
      <c r="AT20" s="291"/>
      <c r="AU20" s="291"/>
      <c r="AV20" s="290"/>
      <c r="AW20" s="291"/>
      <c r="AX20" s="291"/>
      <c r="AY20" s="290"/>
    </row>
    <row r="21" spans="2:51" ht="15" customHeight="1">
      <c r="B21" s="126"/>
      <c r="C21" s="449"/>
      <c r="D21" s="447" t="str">
        <f>IF(OR(D9="",D10=""),"",D9)</f>
        <v>A3</v>
      </c>
      <c r="E21" s="447"/>
      <c r="F21" s="26" t="str">
        <f>IF(COUNT(G21:I21)&lt;1,"",IF(SUM(IF(G21&gt;G20,1,0),IF(H21&gt;H20,1,0),IF(I21&gt;I20,1,0))&gt;2,"??",SUM(IF(G21&gt;G20,1,0),IF(H21&gt;H20,1,0),IF(I21&gt;I20,1,0))))</f>
        <v/>
      </c>
      <c r="G21" s="141"/>
      <c r="H21" s="142"/>
      <c r="I21" s="143"/>
      <c r="J21" s="449"/>
      <c r="K21" s="447" t="str">
        <f>IF(OR(K9="",K10=""),"",K9)</f>
        <v>B3</v>
      </c>
      <c r="L21" s="447"/>
      <c r="M21" s="26" t="str">
        <f>IF(COUNT(N21:P21)&lt;1,"",IF(SUM(IF(N21&gt;N20,1,0),IF(O21&gt;O20,1,0),IF(P21&gt;P20,1,0))&gt;2,"??",SUM(IF(N21&gt;N20,1,0),IF(O21&gt;O20,1,0),IF(P21&gt;P20,1,0))))</f>
        <v/>
      </c>
      <c r="N21" s="141"/>
      <c r="O21" s="142"/>
      <c r="P21" s="143"/>
      <c r="Q21" s="449"/>
      <c r="R21" s="447" t="str">
        <f>IF(OR(R9="",R10=""),"",R9)</f>
        <v>C3</v>
      </c>
      <c r="S21" s="447"/>
      <c r="T21" s="26" t="str">
        <f>IF(COUNT(U21:W21)&lt;1,"",IF(SUM(IF(U21&gt;U20,1,0),IF(V21&gt;V20,1,0),IF(W21&gt;W20,1,0))&gt;2,"??",SUM(IF(U21&gt;U20,1,0),IF(V21&gt;V20,1,0),IF(W21&gt;W20,1,0))))</f>
        <v/>
      </c>
      <c r="U21" s="141"/>
      <c r="V21" s="142"/>
      <c r="W21" s="143"/>
      <c r="X21" s="449"/>
      <c r="Y21" s="447" t="str">
        <f>IF(OR(Y9="",Y10=""),"",Y9)</f>
        <v>D3</v>
      </c>
      <c r="Z21" s="447"/>
      <c r="AA21" s="26" t="str">
        <f>IF(COUNT(AB21:AD21)&lt;1,"",IF(SUM(IF(AB21&gt;AB20,1,0),IF(AC21&gt;AC20,1,0),IF(AD21&gt;AD20,1,0))&gt;2,"??",SUM(IF(AB21&gt;AB20,1,0),IF(AC21&gt;AC20,1,0),IF(AD21&gt;AD20,1,0))))</f>
        <v/>
      </c>
      <c r="AB21" s="141"/>
      <c r="AC21" s="142"/>
      <c r="AD21" s="143"/>
      <c r="AE21" s="443"/>
      <c r="AG21" s="109">
        <f>$J$22</f>
        <v>12</v>
      </c>
      <c r="AH21" s="161"/>
      <c r="AI21" s="109">
        <f>$H$43</f>
        <v>28</v>
      </c>
      <c r="AJ21" s="161"/>
      <c r="AK21" s="159">
        <f>$O$88</f>
        <v>41</v>
      </c>
      <c r="AL21" s="160"/>
      <c r="AN21" s="323" t="s">
        <v>234</v>
      </c>
      <c r="AO21" s="324" t="str">
        <f>IF(R9="","",R9)</f>
        <v>C3</v>
      </c>
      <c r="AP21" s="324" t="str">
        <f>V9</f>
        <v/>
      </c>
      <c r="AQ21" s="336" t="str">
        <f>IF(AP21="","",(IF(T19="",0,T19)+IF(T21="",0,T21)+IF(T26="",0,T26))-(IF(T18="",0,T18)+IF(T20="",0,T20)+IF(T27="",0,T27)))</f>
        <v/>
      </c>
      <c r="AR21" s="324" t="str">
        <f>IF(AP21="","",(IF(T19="",0,SUM(U19:W19))+IF(T21="",0,SUM(U21:W21))+IF(T26="",0,SUM(U26:W26)))-(IF(T18="",0,SUM(U18:W18))+IF(T20="",0,SUM(U20:W20))+IF(T27="",0,SUM(U27:W27))))</f>
        <v/>
      </c>
      <c r="AS21" s="290"/>
      <c r="AT21" s="291"/>
      <c r="AU21" s="291"/>
      <c r="AV21" s="290"/>
      <c r="AW21" s="291"/>
      <c r="AX21" s="291"/>
      <c r="AY21" s="290"/>
    </row>
    <row r="22" spans="2:51" ht="15" customHeight="1">
      <c r="B22" s="126"/>
      <c r="C22" s="438">
        <v>10</v>
      </c>
      <c r="D22" s="440" t="str">
        <f>IF(OR(D7="",D8=""),"",D7)</f>
        <v>Joana Pinto (AE Sertã)</v>
      </c>
      <c r="E22" s="440"/>
      <c r="F22" s="27" t="str">
        <f>IF(COUNT(G22:I22)&lt;1,"",IF(SUM(IF(G22&gt;G23,1,0),IF(H22&gt;H23,1,0),IF(I22&gt;I23,1,0))&gt;2,"??",SUM(IF(G22&gt;G23,1,0),IF(H22&gt;H23,1,0),IF(I22&gt;I23,1,0))))</f>
        <v/>
      </c>
      <c r="G22" s="144"/>
      <c r="H22" s="145"/>
      <c r="I22" s="146"/>
      <c r="J22" s="438">
        <v>12</v>
      </c>
      <c r="K22" s="440" t="str">
        <f>IF(OR(K7="",K8=""),"",K7)</f>
        <v>B1</v>
      </c>
      <c r="L22" s="440"/>
      <c r="M22" s="27" t="str">
        <f>IF(COUNT(N22:P22)&lt;1,"",IF(SUM(IF(N22&gt;N23,1,0),IF(O22&gt;O23,1,0),IF(P22&gt;P23,1,0))&gt;2,"??",SUM(IF(N22&gt;N23,1,0),IF(O22&gt;O23,1,0),IF(P22&gt;P23,1,0))))</f>
        <v/>
      </c>
      <c r="N22" s="144"/>
      <c r="O22" s="145"/>
      <c r="P22" s="146"/>
      <c r="Q22" s="438">
        <v>14</v>
      </c>
      <c r="R22" s="440" t="str">
        <f>IF(OR(R7="",R8=""),"",R7)</f>
        <v>C1</v>
      </c>
      <c r="S22" s="440"/>
      <c r="T22" s="27" t="str">
        <f>IF(COUNT(U22:W22)&lt;1,"",IF(SUM(IF(U22&gt;U23,1,0),IF(V22&gt;V23,1,0),IF(W22&gt;W23,1,0))&gt;2,"??",SUM(IF(U22&gt;U23,1,0),IF(V22&gt;V23,1,0),IF(W22&gt;W23,1,0))))</f>
        <v/>
      </c>
      <c r="U22" s="144"/>
      <c r="V22" s="145"/>
      <c r="W22" s="146"/>
      <c r="X22" s="438">
        <v>16</v>
      </c>
      <c r="Y22" s="440" t="str">
        <f>IF(OR(Y7="",Y8=""),"",Y7)</f>
        <v>D1</v>
      </c>
      <c r="Z22" s="440"/>
      <c r="AA22" s="27" t="str">
        <f>IF(COUNT(AB22:AD22)&lt;1,"",IF(SUM(IF(AB22&gt;AB23,1,0),IF(AC22&gt;AC23,1,0),IF(AD22&gt;AD23,1,0))&gt;2,"??",SUM(IF(AB22&gt;AB23,1,0),IF(AC22&gt;AC23,1,0),IF(AD22&gt;AD23,1,0))))</f>
        <v/>
      </c>
      <c r="AB22" s="144"/>
      <c r="AC22" s="145"/>
      <c r="AD22" s="146"/>
      <c r="AE22" s="443"/>
      <c r="AG22" s="109">
        <f>$Q$20</f>
        <v>13</v>
      </c>
      <c r="AH22" s="161"/>
      <c r="AI22" s="109">
        <f>$O$33</f>
        <v>29</v>
      </c>
      <c r="AJ22" s="161"/>
      <c r="AK22" s="109">
        <f>$O$96</f>
        <v>42</v>
      </c>
      <c r="AL22" s="161"/>
      <c r="AN22" s="337" t="s">
        <v>235</v>
      </c>
      <c r="AO22" s="326" t="str">
        <f>IF(R10="","",R10)</f>
        <v>C4</v>
      </c>
      <c r="AP22" s="326" t="str">
        <f>V10</f>
        <v/>
      </c>
      <c r="AQ22" s="338" t="str">
        <f>IF(AP22="","",(IF(T17="",0,T17)+IF(T20="",0,T20)+IF(T25="",0,T25))-(IF(T16="",0,T16)+IF(T21="",0,T21)+IF(T24="",0,T24)))</f>
        <v/>
      </c>
      <c r="AR22" s="326" t="str">
        <f>IF(AP22="","",(IF(T17="",0,SUM(U17:W17))+IF(T20="",0,SUM(U20:W20))+IF(T25="",0,SUM(U25:W25)))-(IF(T16="",0,SUM(U16:W16))+IF(T21="",0,SUM(U21:W21))+IF(T24="",0,SUM(U24:W24))))</f>
        <v/>
      </c>
      <c r="AS22" s="290"/>
      <c r="AT22" s="291"/>
      <c r="AU22" s="291"/>
      <c r="AV22" s="290"/>
      <c r="AW22" s="291"/>
      <c r="AX22" s="291"/>
      <c r="AY22" s="290"/>
    </row>
    <row r="23" spans="2:51" ht="15" customHeight="1" thickBot="1">
      <c r="B23" s="126"/>
      <c r="C23" s="439"/>
      <c r="D23" s="441" t="str">
        <f>IF(OR(D7="",D8=""),"",D8)</f>
        <v>A2</v>
      </c>
      <c r="E23" s="441"/>
      <c r="F23" s="28" t="str">
        <f>IF(COUNT(G23:I23)&lt;1,"",IF(SUM(IF(G23&gt;G22,1,0),IF(H23&gt;H22,1,0),IF(I23&gt;I22,1,0))&gt;2,"??",SUM(IF(G23&gt;G22,1,0),IF(H23&gt;H22,1,0),IF(I23&gt;I22,1,0))))</f>
        <v/>
      </c>
      <c r="G23" s="153"/>
      <c r="H23" s="154"/>
      <c r="I23" s="155"/>
      <c r="J23" s="439"/>
      <c r="K23" s="441" t="str">
        <f>IF(OR(K7="",K8=""),"",K8)</f>
        <v>B2</v>
      </c>
      <c r="L23" s="441"/>
      <c r="M23" s="28" t="str">
        <f>IF(COUNT(N23:P23)&lt;1,"",IF(SUM(IF(N23&gt;N22,1,0),IF(O23&gt;O22,1,0),IF(P23&gt;P22,1,0))&gt;2,"??",SUM(IF(N23&gt;N22,1,0),IF(O23&gt;O22,1,0),IF(P23&gt;P22,1,0))))</f>
        <v/>
      </c>
      <c r="N23" s="153"/>
      <c r="O23" s="154"/>
      <c r="P23" s="155"/>
      <c r="Q23" s="439"/>
      <c r="R23" s="441" t="str">
        <f>IF(OR(R7="",R8=""),"",R8)</f>
        <v>C2</v>
      </c>
      <c r="S23" s="441"/>
      <c r="T23" s="28" t="str">
        <f>IF(COUNT(U23:W23)&lt;1,"",IF(SUM(IF(U23&gt;U22,1,0),IF(V23&gt;V22,1,0),IF(W23&gt;W22,1,0))&gt;2,"??",SUM(IF(U23&gt;U22,1,0),IF(V23&gt;V22,1,0),IF(W23&gt;W22,1,0))))</f>
        <v/>
      </c>
      <c r="U23" s="153"/>
      <c r="V23" s="154"/>
      <c r="W23" s="155"/>
      <c r="X23" s="439"/>
      <c r="Y23" s="441" t="str">
        <f>IF(OR(Y7="",Y8=""),"",Y8)</f>
        <v>D2</v>
      </c>
      <c r="Z23" s="441"/>
      <c r="AA23" s="28" t="str">
        <f>IF(COUNT(AB23:AD23)&lt;1,"",IF(SUM(IF(AB23&gt;AB22,1,0),IF(AC23&gt;AC22,1,0),IF(AD23&gt;AD22,1,0))&gt;2,"??",SUM(IF(AB23&gt;AB22,1,0),IF(AC23&gt;AC22,1,0),IF(AD23&gt;AD22,1,0))))</f>
        <v/>
      </c>
      <c r="AB23" s="153"/>
      <c r="AC23" s="154"/>
      <c r="AD23" s="155"/>
      <c r="AE23" s="444"/>
      <c r="AG23" s="109">
        <f>$Q$22</f>
        <v>14</v>
      </c>
      <c r="AH23" s="161"/>
      <c r="AI23" s="109">
        <f>$O$41</f>
        <v>30</v>
      </c>
      <c r="AJ23" s="161"/>
      <c r="AK23" s="109">
        <f>$V$92</f>
        <v>43</v>
      </c>
      <c r="AL23" s="161"/>
      <c r="AN23" s="339" t="s">
        <v>236</v>
      </c>
      <c r="AO23" s="328" t="str">
        <f>IF(Y7="","",Y7)</f>
        <v>D1</v>
      </c>
      <c r="AP23" s="329" t="str">
        <f>AC7</f>
        <v/>
      </c>
      <c r="AQ23" s="329" t="str">
        <f>IF(AP23="","",(IF(AA16="",0,AA16)+IF(AA22="",0,AA22)+IF(AA27="",0,AA27))-(IF(AA17="",0,AA17)+IF(AA23="",0,AA23)+IF(AA26="",0,AA26)))</f>
        <v/>
      </c>
      <c r="AR23" s="329" t="str">
        <f>IF(AP23="","",(IF(AA16="",0,SUM(AB16:AD16))+IF(AA22="",0,SUM(AB22:AD22))+IF(AA27="",0,SUM(AB27:AD27)))-(IF(AA17="",0,SUM(AB17:AD17))+IF(AA23="",0,SUM(AB23:AD23))+IF(AA26="",0,SUM(AB26:AD26))))</f>
        <v/>
      </c>
      <c r="AS23" s="290"/>
      <c r="AT23" s="291"/>
      <c r="AU23" s="291"/>
      <c r="AV23" s="290"/>
      <c r="AW23" s="291"/>
      <c r="AX23" s="291"/>
      <c r="AY23" s="290"/>
    </row>
    <row r="24" spans="2:51" ht="15" customHeight="1" thickTop="1" thickBot="1">
      <c r="B24" s="126"/>
      <c r="C24" s="431">
        <v>17</v>
      </c>
      <c r="D24" s="433" t="str">
        <f>IF(OR(D8="",D10=""),"",D8)</f>
        <v>A2</v>
      </c>
      <c r="E24" s="433"/>
      <c r="F24" s="22" t="str">
        <f>IF(COUNT(G24:I24)&lt;1,"",IF(SUM(IF(G24&gt;G25,1,0),IF(H24&gt;H25,1,0),IF(I24&gt;I25,1,0))&gt;2,"??",SUM(IF(G24&gt;G25,1,0),IF(H24&gt;H25,1,0),IF(I24&gt;I25,1,0))))</f>
        <v/>
      </c>
      <c r="G24" s="141"/>
      <c r="H24" s="142"/>
      <c r="I24" s="143"/>
      <c r="J24" s="431">
        <v>19</v>
      </c>
      <c r="K24" s="433" t="str">
        <f>IF(OR(K8="",K10=""),"",K8)</f>
        <v>B2</v>
      </c>
      <c r="L24" s="433"/>
      <c r="M24" s="22" t="str">
        <f>IF(COUNT(N24:P24)&lt;1,"",IF(SUM(IF(N24&gt;N25,1,0),IF(O24&gt;O25,1,0),IF(P24&gt;P25,1,0))&gt;2,"??",SUM(IF(N24&gt;N25,1,0),IF(O24&gt;O25,1,0),IF(P24&gt;P25,1,0))))</f>
        <v/>
      </c>
      <c r="N24" s="141"/>
      <c r="O24" s="142"/>
      <c r="P24" s="143"/>
      <c r="Q24" s="431">
        <v>21</v>
      </c>
      <c r="R24" s="433" t="str">
        <f>IF(OR(R8="",R10=""),"",R8)</f>
        <v>C2</v>
      </c>
      <c r="S24" s="433"/>
      <c r="T24" s="22" t="str">
        <f>IF(COUNT(U24:W24)&lt;1,"",IF(SUM(IF(U24&gt;U25,1,0),IF(V24&gt;V25,1,0),IF(W24&gt;W25,1,0))&gt;2,"??",SUM(IF(U24&gt;U25,1,0),IF(V24&gt;V25,1,0),IF(W24&gt;W25,1,0))))</f>
        <v/>
      </c>
      <c r="U24" s="141"/>
      <c r="V24" s="142"/>
      <c r="W24" s="143"/>
      <c r="X24" s="431">
        <v>23</v>
      </c>
      <c r="Y24" s="433" t="str">
        <f>IF(OR(Y8="",Y10=""),"",Y8)</f>
        <v>D2</v>
      </c>
      <c r="Z24" s="433"/>
      <c r="AA24" s="22" t="str">
        <f>IF(COUNT(AB24:AD24)&lt;1,"",IF(SUM(IF(AB24&gt;AB25,1,0),IF(AC24&gt;AC25,1,0),IF(AD24&gt;AD25,1,0))&gt;2,"??",SUM(IF(AB24&gt;AB25,1,0),IF(AC24&gt;AC25,1,0),IF(AD24&gt;AD25,1,0))))</f>
        <v/>
      </c>
      <c r="AB24" s="141"/>
      <c r="AC24" s="142"/>
      <c r="AD24" s="143"/>
      <c r="AE24" s="434" t="s">
        <v>45</v>
      </c>
      <c r="AG24" s="109">
        <f>$X$20</f>
        <v>15</v>
      </c>
      <c r="AH24" s="161"/>
      <c r="AI24" s="109">
        <f>$V$37</f>
        <v>31</v>
      </c>
      <c r="AJ24" s="161"/>
      <c r="AK24" s="130">
        <f>$W$92</f>
        <v>44</v>
      </c>
      <c r="AL24" s="163"/>
      <c r="AN24" s="330" t="s">
        <v>237</v>
      </c>
      <c r="AO24" s="328" t="str">
        <f>IF(Y8="","",Y8)</f>
        <v>D2</v>
      </c>
      <c r="AP24" s="331" t="str">
        <f>AC8</f>
        <v/>
      </c>
      <c r="AQ24" s="331" t="str">
        <f>IF(AP24="","",(IF(AA18="",0,AA18)+IF(AA23="",0,AA23)+IF(AA24="",0,AA24))-(IF(AA19="",0,AA19)+IF(AA22="",0,AA22)+IF(AA25="",0,AA25)))</f>
        <v/>
      </c>
      <c r="AR24" s="331" t="str">
        <f>IF(AP24="","",(IF(AA18="",0,SUM(AB18:AD18))+IF(AA23="",0,SUM(AB23:AD23))+IF(AA24="",0,SUM(AB24:AD24)))-(IF(AA19="",0,SUM(AB19:AD19))+IF(AA22="",0,SUM(AB22:AD22))+IF(AA25="",0,SUM(AB25:AD25))))</f>
        <v/>
      </c>
      <c r="AS24" s="290"/>
      <c r="AT24" s="291"/>
      <c r="AU24" s="291"/>
      <c r="AV24" s="290"/>
      <c r="AW24" s="291"/>
      <c r="AX24" s="291"/>
      <c r="AY24" s="290"/>
    </row>
    <row r="25" spans="2:51" ht="15" customHeight="1" thickBot="1">
      <c r="B25" s="126"/>
      <c r="C25" s="432"/>
      <c r="D25" s="437" t="str">
        <f>IF(OR(D8="",D10=""),"",D10)</f>
        <v>A4</v>
      </c>
      <c r="E25" s="437"/>
      <c r="F25" s="22" t="str">
        <f>IF(COUNT(G25:I25)&lt;1,"",IF(SUM(IF(G25&gt;G24,1,0),IF(H25&gt;H24,1,0),IF(I25&gt;I24,1,0))&gt;2,"??",SUM(IF(G25&gt;G24,1,0),IF(H25&gt;H24,1,0),IF(I25&gt;I24,1,0))))</f>
        <v/>
      </c>
      <c r="G25" s="141"/>
      <c r="H25" s="142"/>
      <c r="I25" s="143"/>
      <c r="J25" s="432"/>
      <c r="K25" s="437" t="str">
        <f>IF(OR(K8="",K10=""),"",K10)</f>
        <v>B4</v>
      </c>
      <c r="L25" s="437"/>
      <c r="M25" s="22" t="str">
        <f>IF(COUNT(N25:P25)&lt;1,"",IF(SUM(IF(N25&gt;N24,1,0),IF(O25&gt;O24,1,0),IF(P25&gt;P24,1,0))&gt;2,"??",SUM(IF(N25&gt;N24,1,0),IF(O25&gt;O24,1,0),IF(P25&gt;P24,1,0))))</f>
        <v/>
      </c>
      <c r="N25" s="141"/>
      <c r="O25" s="142"/>
      <c r="P25" s="143"/>
      <c r="Q25" s="432"/>
      <c r="R25" s="437" t="str">
        <f>IF(OR(R8="",R10=""),"",R10)</f>
        <v>C4</v>
      </c>
      <c r="S25" s="437"/>
      <c r="T25" s="22" t="str">
        <f>IF(COUNT(U25:W25)&lt;1,"",IF(SUM(IF(U25&gt;U24,1,0),IF(V25&gt;V24,1,0),IF(W25&gt;W24,1,0))&gt;2,"??",SUM(IF(U25&gt;U24,1,0),IF(V25&gt;V24,1,0),IF(W25&gt;W24,1,0))))</f>
        <v/>
      </c>
      <c r="U25" s="141"/>
      <c r="V25" s="142"/>
      <c r="W25" s="143"/>
      <c r="X25" s="432"/>
      <c r="Y25" s="437" t="str">
        <f>IF(OR(Y8="",Y10=""),"",Y10)</f>
        <v>D4</v>
      </c>
      <c r="Z25" s="437"/>
      <c r="AA25" s="22" t="str">
        <f>IF(COUNT(AB25:AD25)&lt;1,"",IF(SUM(IF(AB25&gt;AB24,1,0),IF(AC25&gt;AC24,1,0),IF(AD25&gt;AD24,1,0))&gt;2,"??",SUM(IF(AB25&gt;AB24,1,0),IF(AC25&gt;AC24,1,0),IF(AD25&gt;AD24,1,0))))</f>
        <v/>
      </c>
      <c r="AB25" s="141"/>
      <c r="AC25" s="142"/>
      <c r="AD25" s="143"/>
      <c r="AE25" s="435"/>
      <c r="AG25" s="130">
        <f>$X$22</f>
        <v>16</v>
      </c>
      <c r="AH25" s="163"/>
      <c r="AI25" s="130">
        <f>$W$37</f>
        <v>32</v>
      </c>
      <c r="AJ25" s="163"/>
      <c r="AK25" s="159"/>
      <c r="AL25" s="240"/>
      <c r="AN25" s="330" t="s">
        <v>239</v>
      </c>
      <c r="AO25" s="328" t="str">
        <f>IF(Y9="","",Y9)</f>
        <v>D3</v>
      </c>
      <c r="AP25" s="331" t="str">
        <f>AC9</f>
        <v/>
      </c>
      <c r="AQ25" s="331" t="str">
        <f>IF(AP25="","",(IF(AA19="",0,AA19)+IF(AA21="",0,AA21)+IF(AA26="",0,AA26))-(IF(AA18="",0,AA18)+IF(AA20="",0,AA20)+IF(AA27="",0,AA27)))</f>
        <v/>
      </c>
      <c r="AR25" s="331" t="str">
        <f>IF(AP25="","",(IF(AA19="",0,SUM(AB19:AD19))+IF(AA21="",0,SUM(AB21:AD21))+IF(AA26="",0,SUM(AB26:AD26)))-(IF(AA18="",0,SUM(AB18:AD18))+IF(AA20="",0,SUM(AB20:AD20))+IF(AA27="",0,SUM(AB27:AD27))))</f>
        <v/>
      </c>
      <c r="AS25" s="290"/>
      <c r="AT25" s="291"/>
      <c r="AU25" s="291"/>
      <c r="AV25" s="290"/>
      <c r="AW25" s="291"/>
      <c r="AX25" s="291"/>
      <c r="AY25" s="290"/>
    </row>
    <row r="26" spans="2:51" ht="15" customHeight="1" thickBot="1">
      <c r="B26" s="126"/>
      <c r="C26" s="428">
        <v>18</v>
      </c>
      <c r="D26" s="430" t="str">
        <f>IF(OR(D7="",D9=""),"",D9)</f>
        <v>A3</v>
      </c>
      <c r="E26" s="430"/>
      <c r="F26" s="23" t="str">
        <f>IF(COUNT(G26:I26)&lt;1,"",IF(SUM(IF(G26&gt;G27,1,0),IF(H26&gt;H27,1,0),IF(I26&gt;I27,1,0))&gt;2,"??",SUM(IF(G26&gt;G27,1,0),IF(H26&gt;H27,1,0),IF(I26&gt;I27,1,0))))</f>
        <v/>
      </c>
      <c r="G26" s="144"/>
      <c r="H26" s="145"/>
      <c r="I26" s="146"/>
      <c r="J26" s="428">
        <v>20</v>
      </c>
      <c r="K26" s="430" t="str">
        <f>IF(OR(K7="",K9=""),"",K9)</f>
        <v>B3</v>
      </c>
      <c r="L26" s="430"/>
      <c r="M26" s="23" t="str">
        <f>IF(COUNT(N26:P26)&lt;1,"",IF(SUM(IF(N26&gt;N27,1,0),IF(O26&gt;O27,1,0),IF(P26&gt;P27,1,0))&gt;2,"??",SUM(IF(N26&gt;N27,1,0),IF(O26&gt;O27,1,0),IF(P26&gt;P27,1,0))))</f>
        <v/>
      </c>
      <c r="N26" s="144"/>
      <c r="O26" s="145"/>
      <c r="P26" s="146"/>
      <c r="Q26" s="428">
        <v>22</v>
      </c>
      <c r="R26" s="430" t="str">
        <f>IF(OR(R7="",R9=""),"",R9)</f>
        <v>C3</v>
      </c>
      <c r="S26" s="430"/>
      <c r="T26" s="23" t="str">
        <f>IF(COUNT(U26:W26)&lt;1,"",IF(SUM(IF(U26&gt;U27,1,0),IF(V26&gt;V27,1,0),IF(W26&gt;W27,1,0))&gt;2,"??",SUM(IF(U26&gt;U27,1,0),IF(V26&gt;V27,1,0),IF(W26&gt;W27,1,0))))</f>
        <v/>
      </c>
      <c r="U26" s="144"/>
      <c r="V26" s="145"/>
      <c r="W26" s="146"/>
      <c r="X26" s="428">
        <v>24</v>
      </c>
      <c r="Y26" s="430" t="str">
        <f>IF(OR(Y7="",Y9=""),"",Y9)</f>
        <v>D3</v>
      </c>
      <c r="Z26" s="430"/>
      <c r="AA26" s="23" t="str">
        <f>IF(COUNT(AB26:AD26)&lt;1,"",IF(SUM(IF(AB26&gt;AB27,1,0),IF(AC26&gt;AC27,1,0),IF(AD26&gt;AD27,1,0))&gt;2,"??",SUM(IF(AB26&gt;AB27,1,0),IF(AC26&gt;AC27,1,0),IF(AD26&gt;AD27,1,0))))</f>
        <v/>
      </c>
      <c r="AB26" s="144"/>
      <c r="AC26" s="145"/>
      <c r="AD26" s="146"/>
      <c r="AE26" s="435"/>
      <c r="AG26" s="417" t="s">
        <v>247</v>
      </c>
      <c r="AH26" s="417"/>
      <c r="AI26" s="417" t="s">
        <v>248</v>
      </c>
      <c r="AJ26" s="417"/>
      <c r="AN26" s="340" t="s">
        <v>238</v>
      </c>
      <c r="AO26" s="341" t="str">
        <f>IF(Y10="","",Y10)</f>
        <v>D4</v>
      </c>
      <c r="AP26" s="341" t="str">
        <f>AC10</f>
        <v/>
      </c>
      <c r="AQ26" s="341" t="str">
        <f>IF(AP26="","",(IF(AA17="",0,AA17)+IF(AA20="",0,AA20)+IF(AA25="",0,AA25))-(IF(AA16="",0,AA16)+IF(AA21="",0,AA21)+IF(AA24="",0,AA24)))</f>
        <v/>
      </c>
      <c r="AR26" s="341" t="str">
        <f>IF(AP26="","",(IF(AA17="",0,SUM(AB17:AD17))+IF(AA20="",0,SUM(AB20:AD20))+IF(AA25="",0,SUM(AB25:AD25)))-(IF(AA16="",0,SUM(AB16:AD16))+IF(AA21="",0,SUM(AB21:AD21))+IF(AA24="",0,SUM(AB24:AD24))))</f>
        <v/>
      </c>
      <c r="AS26" s="290"/>
      <c r="AT26" s="291"/>
      <c r="AU26" s="291"/>
      <c r="AV26" s="290"/>
      <c r="AW26" s="291"/>
      <c r="AX26" s="291"/>
      <c r="AY26" s="290"/>
    </row>
    <row r="27" spans="2:51" ht="15" customHeight="1" thickBot="1">
      <c r="B27" s="126"/>
      <c r="C27" s="429"/>
      <c r="D27" s="418" t="str">
        <f>IF(OR(D7="",D9=""),"",D7)</f>
        <v>Joana Pinto (AE Sertã)</v>
      </c>
      <c r="E27" s="418"/>
      <c r="F27" s="29" t="str">
        <f>IF(COUNT(G27:I27)&lt;1,"",IF(SUM(IF(G27&gt;G26,1,0),IF(H27&gt;H26,1,0),IF(I27&gt;I26,1,0))&gt;2,"??",SUM(IF(G27&gt;G26,1,0),IF(H27&gt;H26,1,0),IF(I27&gt;I26,1,0))))</f>
        <v/>
      </c>
      <c r="G27" s="156"/>
      <c r="H27" s="157"/>
      <c r="I27" s="158"/>
      <c r="J27" s="429"/>
      <c r="K27" s="418" t="str">
        <f>IF(OR(K7="",K9=""),"",K7)</f>
        <v>B1</v>
      </c>
      <c r="L27" s="418"/>
      <c r="M27" s="29" t="str">
        <f>IF(COUNT(N27:P27)&lt;1,"",IF(SUM(IF(N27&gt;N26,1,0),IF(O27&gt;O26,1,0),IF(P27&gt;P26,1,0))&gt;2,"??",SUM(IF(N27&gt;N26,1,0),IF(O27&gt;O26,1,0),IF(P27&gt;P26,1,0))))</f>
        <v/>
      </c>
      <c r="N27" s="156"/>
      <c r="O27" s="157"/>
      <c r="P27" s="158"/>
      <c r="Q27" s="429"/>
      <c r="R27" s="418" t="str">
        <f>IF(OR(R7="",R9=""),"",R7)</f>
        <v>C1</v>
      </c>
      <c r="S27" s="418"/>
      <c r="T27" s="29" t="str">
        <f>IF(COUNT(U27:W27)&lt;1,"",IF(SUM(IF(U27&gt;U26,1,0),IF(V27&gt;V26,1,0),IF(W27&gt;W26,1,0))&gt;2,"??",SUM(IF(U27&gt;U26,1,0),IF(V27&gt;V26,1,0),IF(W27&gt;W26,1,0))))</f>
        <v/>
      </c>
      <c r="U27" s="156"/>
      <c r="V27" s="157"/>
      <c r="W27" s="158"/>
      <c r="X27" s="429"/>
      <c r="Y27" s="418" t="str">
        <f>IF(OR(Y7="",Y9=""),"",Y7)</f>
        <v>D1</v>
      </c>
      <c r="Z27" s="418"/>
      <c r="AA27" s="29" t="str">
        <f>IF(COUNT(AB27:AD27)&lt;1,"",IF(SUM(IF(AB27&gt;AB26,1,0),IF(AC27&gt;AC26,1,0),IF(AD27&gt;AD26,1,0))&gt;2,"??",SUM(IF(AB27&gt;AB26,1,0),IF(AC27&gt;AC26,1,0),IF(AD27&gt;AD26,1,0))))</f>
        <v/>
      </c>
      <c r="AB27" s="156"/>
      <c r="AC27" s="157"/>
      <c r="AD27" s="158"/>
      <c r="AE27" s="436"/>
      <c r="AG27" s="419">
        <v>1</v>
      </c>
      <c r="AH27" s="420"/>
      <c r="AI27" s="423">
        <v>4</v>
      </c>
      <c r="AJ27" s="424"/>
      <c r="AN27" s="292"/>
      <c r="AO27" s="293"/>
      <c r="AP27" s="342"/>
      <c r="AQ27" s="342"/>
      <c r="AR27" s="342"/>
      <c r="AS27" s="290"/>
      <c r="AT27" s="291"/>
      <c r="AU27" s="291"/>
      <c r="AV27" s="290"/>
      <c r="AW27" s="291"/>
      <c r="AX27" s="291"/>
      <c r="AY27" s="290"/>
    </row>
    <row r="28" spans="2:51" ht="15.75" customHeight="1" thickBot="1">
      <c r="B28" s="126"/>
      <c r="C28" s="427"/>
      <c r="D28" s="427"/>
      <c r="E28" s="427"/>
      <c r="F28" s="427"/>
      <c r="G28" s="427"/>
      <c r="H28" s="427"/>
      <c r="I28" s="427"/>
      <c r="J28" s="427"/>
      <c r="K28" s="427"/>
      <c r="L28" s="427"/>
      <c r="M28" s="427"/>
      <c r="N28" s="427"/>
      <c r="O28" s="427"/>
      <c r="P28" s="427"/>
      <c r="Q28" s="30"/>
      <c r="R28" s="31"/>
      <c r="S28" s="32"/>
      <c r="T28" s="33"/>
      <c r="U28" s="32"/>
      <c r="V28" s="32"/>
      <c r="W28" s="32"/>
      <c r="X28" s="30"/>
      <c r="Y28" s="31"/>
      <c r="Z28" s="32"/>
      <c r="AA28" s="33"/>
      <c r="AB28" s="32"/>
      <c r="AC28" s="32"/>
      <c r="AD28" s="32"/>
      <c r="AE28" s="113"/>
      <c r="AG28" s="421"/>
      <c r="AH28" s="422"/>
      <c r="AI28" s="425"/>
      <c r="AJ28" s="426"/>
      <c r="AN28" s="292"/>
      <c r="AO28" s="343" t="s">
        <v>425</v>
      </c>
      <c r="AP28" s="344" t="str">
        <f>IF(COUNT(AP11:AP26)=0,"",IF(SUM(AP11:AP26)=SUM(H7:H10,O7:O10,V7:V10,AC7:AC10),"OK","??"))</f>
        <v>OK</v>
      </c>
      <c r="AQ28" s="344" t="str">
        <f>IF(COUNT(AQ11:AQ26)=0,"",IF(SUM(IF(AQ11="",0,AQ11),IF(AQ12="",0,AQ12),IF(AQ13="",0,AQ13),IF(AQ14="",0,AQ14),IF(AQ15="",0,AQ15),IF(AQ16="",0,AQ16),IF(AQ17="",0,AQ17),IF(AQ18="",0,AQ18),IF(AQ19="",0,AQ19),IF(AQ20="",0,AQ20),IF(AQ21="",0,AQ21),IF(AQ22="",0,AQ22),IF(AQ23="",0,AQ23),IF(AQ24="",0,AQ24),IF(AQ25="",0,AQ25),IF(AQ26="",0,AQ26))=0,"OK","??"))</f>
        <v>OK</v>
      </c>
      <c r="AR28" s="344" t="str">
        <f>IF(COUNT(AR11:AR26)=0,"",IF(SUM(IF(AR11="",0,AR11),IF(AR12="",0,AR12),IF(AR13="",0,AR13),IF(AR14="",0,AR14),IF(AR15="",0,AR15),IF(AR16="",0,AR16),IF(AR17="",0,AR17),IF(AR18="",0,AR18),IF(AR19="",0,AR19),IF(AR20="",0,AR20),IF(AR21="",0,AR21),IF(AR22="",0,AR22),IF(AR23="",0,AR23),IF(AR24="",0,AR24),IF(AR25="",0,AR25),IF(AR26="",0,AR26))=0,"OK","??"))</f>
        <v>OK</v>
      </c>
      <c r="AS28" s="290"/>
      <c r="AT28" s="291"/>
      <c r="AU28" s="291"/>
      <c r="AV28" s="290"/>
      <c r="AW28" s="291"/>
      <c r="AX28" s="291"/>
      <c r="AY28" s="290"/>
    </row>
    <row r="29" spans="2:51" ht="15" customHeight="1">
      <c r="B29" s="125"/>
      <c r="C29" s="167"/>
      <c r="D29" s="61"/>
      <c r="E29" s="61"/>
      <c r="F29" s="167"/>
      <c r="G29" s="167"/>
      <c r="H29" s="167"/>
      <c r="I29" s="61"/>
      <c r="J29" s="167"/>
      <c r="K29" s="183"/>
      <c r="L29" s="61"/>
      <c r="M29" s="61"/>
      <c r="N29" s="61"/>
      <c r="O29" s="61"/>
      <c r="P29" s="61"/>
      <c r="Q29" s="167"/>
      <c r="R29" s="61"/>
      <c r="S29" s="61"/>
      <c r="T29" s="61"/>
      <c r="U29" s="61"/>
      <c r="V29" s="61"/>
      <c r="W29" s="61"/>
      <c r="X29" s="167"/>
      <c r="Y29" s="389" t="s">
        <v>0</v>
      </c>
      <c r="Z29" s="390"/>
      <c r="AA29" s="390"/>
      <c r="AB29" s="390"/>
      <c r="AC29" s="390"/>
      <c r="AD29" s="391"/>
      <c r="AE29" s="3"/>
      <c r="AG29" s="409" t="s">
        <v>46</v>
      </c>
      <c r="AH29" s="409"/>
      <c r="AI29" s="409"/>
      <c r="AJ29" s="409"/>
      <c r="AN29" s="292"/>
      <c r="AO29" s="293"/>
      <c r="AP29" s="398"/>
      <c r="AQ29" s="398"/>
      <c r="AR29" s="398"/>
      <c r="AS29" s="290"/>
      <c r="AT29" s="291"/>
      <c r="AU29" s="291"/>
      <c r="AV29" s="290"/>
      <c r="AW29" s="291"/>
      <c r="AX29" s="291"/>
      <c r="AY29" s="290"/>
    </row>
    <row r="30" spans="2:51" ht="15.75" customHeight="1" thickBot="1">
      <c r="B30" s="126"/>
      <c r="C30" s="369" t="str">
        <f>IF(D12="","1º do grupo A",D12)</f>
        <v>Joana Pinto (AE Sertã)</v>
      </c>
      <c r="D30" s="370"/>
      <c r="E30" s="69"/>
      <c r="F30" s="69"/>
      <c r="G30" s="70"/>
      <c r="H30" s="35" t="str">
        <f>IF(COUNT(E30:G30)&lt;1,"",IF(SUM(IF(E30&gt;E32,1,0),IF(F30&gt;F32,1,0),IF(G30&gt;G32,1,0))&gt;2,"??",SUM(IF(E30&gt;E32,1,0),IF(F30&gt;F32,1,0),IF(G30&gt;G32,1,0))))</f>
        <v/>
      </c>
      <c r="I30" s="36"/>
      <c r="J30" s="40"/>
      <c r="K30" s="55"/>
      <c r="L30" s="55"/>
      <c r="M30" s="55"/>
      <c r="N30" s="55"/>
      <c r="O30" s="55"/>
      <c r="P30" s="55"/>
      <c r="Q30" s="40"/>
      <c r="R30" s="55"/>
      <c r="S30" s="55"/>
      <c r="T30" s="55"/>
      <c r="U30" s="55"/>
      <c r="V30" s="55"/>
      <c r="W30" s="54"/>
      <c r="X30" s="68"/>
      <c r="Y30" s="392"/>
      <c r="Z30" s="393"/>
      <c r="AA30" s="393"/>
      <c r="AB30" s="393"/>
      <c r="AC30" s="393"/>
      <c r="AD30" s="394"/>
      <c r="AE30" s="113"/>
      <c r="AG30" s="410"/>
      <c r="AH30" s="410"/>
      <c r="AI30" s="410"/>
      <c r="AJ30" s="410"/>
      <c r="AN30" s="292"/>
      <c r="AO30" s="293"/>
      <c r="AP30" s="398"/>
      <c r="AQ30" s="398"/>
      <c r="AR30" s="398"/>
      <c r="AS30" s="290"/>
      <c r="AT30" s="291"/>
      <c r="AU30" s="291"/>
      <c r="AV30" s="290"/>
      <c r="AW30" s="291"/>
      <c r="AX30" s="291"/>
      <c r="AY30" s="290"/>
    </row>
    <row r="31" spans="2:51" ht="15.75" customHeight="1">
      <c r="B31" s="126"/>
      <c r="C31" s="68"/>
      <c r="D31" s="37"/>
      <c r="E31" s="41"/>
      <c r="F31" s="41"/>
      <c r="G31" s="62"/>
      <c r="H31" s="64">
        <v>25</v>
      </c>
      <c r="I31" s="411" t="str">
        <f>IF(OR(H30="",H32="")=TRUE,"1ª Meia Final-Jogador1",IF(H30&gt;H32,C30,C32))</f>
        <v>1ª Meia Final-Jogador1</v>
      </c>
      <c r="J31" s="412"/>
      <c r="K31" s="413"/>
      <c r="L31" s="69"/>
      <c r="M31" s="69"/>
      <c r="N31" s="70"/>
      <c r="O31" s="38" t="str">
        <f>IF(COUNT(L31:N31)&lt;1,"",IF(SUM(IF(L31&gt;L35,1,0),IF(M31&gt;M35,1,0),IF(N31&gt;N35,1,0))&gt;2,"??",SUM(IF(L31&gt;L35,1,0),IF(M31&gt;M35,1,0),IF(N31&gt;N35,1,0))))</f>
        <v/>
      </c>
      <c r="P31" s="55"/>
      <c r="Q31" s="40"/>
      <c r="R31" s="55"/>
      <c r="S31" s="55"/>
      <c r="T31" s="55"/>
      <c r="U31" s="55"/>
      <c r="V31" s="55"/>
      <c r="W31" s="54"/>
      <c r="X31" s="68"/>
      <c r="Y31" s="414" t="str">
        <f>IF(X37="1º Classificado","",X37)</f>
        <v/>
      </c>
      <c r="Z31" s="415"/>
      <c r="AA31" s="415"/>
      <c r="AB31" s="415"/>
      <c r="AC31" s="415"/>
      <c r="AD31" s="39" t="s">
        <v>1</v>
      </c>
      <c r="AE31" s="113"/>
      <c r="AG31" s="410"/>
      <c r="AH31" s="410"/>
      <c r="AI31" s="410"/>
      <c r="AJ31" s="410"/>
      <c r="AN31" s="288"/>
      <c r="AO31" s="289"/>
      <c r="AP31" s="416"/>
      <c r="AQ31" s="416"/>
      <c r="AR31" s="416"/>
      <c r="AS31" s="290"/>
      <c r="AT31" s="291"/>
      <c r="AU31" s="291"/>
      <c r="AV31" s="290"/>
      <c r="AW31" s="291"/>
      <c r="AX31" s="291"/>
      <c r="AY31" s="290"/>
    </row>
    <row r="32" spans="2:51" ht="15.75" customHeight="1">
      <c r="B32" s="126"/>
      <c r="C32" s="369" t="str">
        <f>IF(K13="","2º do grupo B",K13)</f>
        <v>2º do grupo B</v>
      </c>
      <c r="D32" s="370"/>
      <c r="E32" s="69"/>
      <c r="F32" s="69"/>
      <c r="G32" s="70"/>
      <c r="H32" s="35" t="str">
        <f>IF(COUNT(E32:G32)&lt;1,"",IF(SUM(IF(E30&lt;E32,1,0),IF(F30&lt;F32,1,0),IF(G30&lt;G32,1,0))&gt;2,"??",SUM(IF(E30&lt;E32,1,0),IF(F30&lt;F32,1,0),IF(G30&lt;G32,1,0))))</f>
        <v/>
      </c>
      <c r="I32" s="36"/>
      <c r="J32" s="40"/>
      <c r="K32" s="59"/>
      <c r="L32" s="55"/>
      <c r="M32" s="41"/>
      <c r="N32" s="41"/>
      <c r="O32" s="42"/>
      <c r="P32" s="36"/>
      <c r="Q32" s="40"/>
      <c r="R32" s="55"/>
      <c r="S32" s="55"/>
      <c r="T32" s="55"/>
      <c r="U32" s="55"/>
      <c r="V32" s="60"/>
      <c r="W32" s="53"/>
      <c r="X32" s="48"/>
      <c r="Y32" s="405" t="str">
        <f>IF(Y31="","",IF(Y31=P33,P41,P33))</f>
        <v/>
      </c>
      <c r="Z32" s="406" t="e">
        <f>IF(#REF!="","",IF(#REF!=W32,"","(2º) "))</f>
        <v>#REF!</v>
      </c>
      <c r="AA32" s="406" t="e">
        <f>IF(#REF!="","",IF(#REF!=X32,"","(2º) "))</f>
        <v>#REF!</v>
      </c>
      <c r="AB32" s="406" t="e">
        <f>IF(#REF!="","",IF(#REF!=Y32,"","(2º) "))</f>
        <v>#REF!</v>
      </c>
      <c r="AC32" s="406" t="e">
        <f>IF(#REF!="","",IF(#REF!=Z32,"","(2º) "))</f>
        <v>#REF!</v>
      </c>
      <c r="AD32" s="43" t="s">
        <v>2</v>
      </c>
      <c r="AE32" s="113"/>
      <c r="AN32" s="292"/>
      <c r="AO32" s="293"/>
      <c r="AP32" s="398"/>
      <c r="AQ32" s="398"/>
      <c r="AR32" s="398"/>
      <c r="AS32" s="290"/>
      <c r="AT32" s="291"/>
      <c r="AU32" s="291"/>
      <c r="AV32" s="290"/>
      <c r="AW32" s="291"/>
      <c r="AX32" s="291"/>
      <c r="AY32" s="290"/>
    </row>
    <row r="33" spans="2:51" ht="15.75" customHeight="1">
      <c r="B33" s="126"/>
      <c r="C33" s="68"/>
      <c r="D33" s="37"/>
      <c r="E33" s="55"/>
      <c r="F33" s="42"/>
      <c r="G33" s="44"/>
      <c r="H33" s="44"/>
      <c r="I33" s="55"/>
      <c r="J33" s="40"/>
      <c r="K33" s="59"/>
      <c r="L33" s="55"/>
      <c r="M33" s="42"/>
      <c r="N33" s="42"/>
      <c r="O33" s="64">
        <v>29</v>
      </c>
      <c r="P33" s="374" t="str">
        <f>IF(OR(O31="",O35="")=TRUE,"Final-Jogador1",IF(O31&gt;O35,I31,I35))</f>
        <v>Final-Jogador1</v>
      </c>
      <c r="Q33" s="369"/>
      <c r="R33" s="369"/>
      <c r="S33" s="370"/>
      <c r="T33" s="69"/>
      <c r="U33" s="69"/>
      <c r="V33" s="69"/>
      <c r="W33" s="45" t="str">
        <f>IF(COUNT(T33:V33)&lt;1,"",IF(SUM(IF(T33&gt;T41,1,0),IF(U33&gt;U41,1,0),IF(V33&gt;V41,1,0))&gt;2,"??",SUM(IF(T33&gt;T41,1,0),IF(U33&gt;U41,1,0),IF(V33&gt;V41,1,0))))</f>
        <v/>
      </c>
      <c r="X33" s="48"/>
      <c r="Y33" s="407" t="str">
        <f>IF(P37="3º Classificado","",P37)</f>
        <v/>
      </c>
      <c r="Z33" s="408"/>
      <c r="AA33" s="408"/>
      <c r="AB33" s="408"/>
      <c r="AC33" s="408"/>
      <c r="AD33" s="166" t="s">
        <v>3</v>
      </c>
      <c r="AE33" s="113"/>
      <c r="AN33" s="292"/>
      <c r="AO33" s="293"/>
      <c r="AP33" s="398"/>
      <c r="AQ33" s="398"/>
      <c r="AR33" s="398"/>
      <c r="AS33" s="290"/>
      <c r="AT33" s="291"/>
      <c r="AU33" s="291"/>
      <c r="AV33" s="290"/>
      <c r="AW33" s="291"/>
      <c r="AX33" s="291"/>
      <c r="AY33" s="290"/>
    </row>
    <row r="34" spans="2:51" ht="15.75" customHeight="1" thickBot="1">
      <c r="B34" s="126"/>
      <c r="C34" s="369" t="str">
        <f>IF(Y13="","2º do grupo D",Y13)</f>
        <v>2º do grupo D</v>
      </c>
      <c r="D34" s="370"/>
      <c r="E34" s="69"/>
      <c r="F34" s="69"/>
      <c r="G34" s="70"/>
      <c r="H34" s="35" t="str">
        <f>IF(COUNT(E34:G34)&lt;1,"",IF(SUM(IF(E34&gt;E36,1,0),IF(F34&gt;F36,1,0),IF(G34&gt;G36,1,0))&gt;2,"??",SUM(IF(E34&gt;E36,1,0),IF(F34&gt;F36,1,0),IF(G34&gt;G36,1,0))))</f>
        <v/>
      </c>
      <c r="I34" s="36"/>
      <c r="J34" s="40"/>
      <c r="K34" s="59"/>
      <c r="L34" s="55"/>
      <c r="M34" s="42"/>
      <c r="N34" s="42"/>
      <c r="O34" s="42"/>
      <c r="P34" s="36"/>
      <c r="Q34" s="40"/>
      <c r="R34" s="55"/>
      <c r="S34" s="46"/>
      <c r="T34" s="42"/>
      <c r="U34" s="42"/>
      <c r="V34" s="67"/>
      <c r="W34" s="47"/>
      <c r="X34" s="48"/>
      <c r="Y34" s="403" t="str">
        <f>IF(Y33="","",IF(Y33=P35,P39,P35))</f>
        <v/>
      </c>
      <c r="Z34" s="404" t="e">
        <f>IF(#REF!="","",IF(#REF!=W34,"","(2º) "))</f>
        <v>#REF!</v>
      </c>
      <c r="AA34" s="404" t="e">
        <f>IF(#REF!="","",IF(#REF!=X34,"","(2º) "))</f>
        <v>#REF!</v>
      </c>
      <c r="AB34" s="404" t="e">
        <f>IF(#REF!="","",IF(#REF!=Y34,"","(2º) "))</f>
        <v>#REF!</v>
      </c>
      <c r="AC34" s="404" t="e">
        <f>IF(#REF!="","",IF(#REF!=Z34,"","(2º) "))</f>
        <v>#REF!</v>
      </c>
      <c r="AD34" s="165" t="s">
        <v>4</v>
      </c>
      <c r="AE34" s="113"/>
      <c r="AN34" s="292"/>
      <c r="AO34" s="293"/>
      <c r="AP34" s="398"/>
      <c r="AQ34" s="398"/>
      <c r="AR34" s="398"/>
      <c r="AS34" s="290"/>
      <c r="AT34" s="291"/>
      <c r="AU34" s="291"/>
      <c r="AV34" s="290"/>
      <c r="AW34" s="291"/>
      <c r="AX34" s="291"/>
      <c r="AY34" s="290"/>
    </row>
    <row r="35" spans="2:51" ht="15.75" customHeight="1">
      <c r="B35" s="126"/>
      <c r="C35" s="68"/>
      <c r="D35" s="37"/>
      <c r="E35" s="55"/>
      <c r="F35" s="42"/>
      <c r="G35" s="44"/>
      <c r="H35" s="63">
        <v>26</v>
      </c>
      <c r="I35" s="374" t="str">
        <f>IF(OR(H34="",H36="")=TRUE,"1ª Meia Final-Jogador2",IF(H34&gt;H36,C34,C36))</f>
        <v>1ª Meia Final-Jogador2</v>
      </c>
      <c r="J35" s="369"/>
      <c r="K35" s="370"/>
      <c r="L35" s="69"/>
      <c r="M35" s="69"/>
      <c r="N35" s="70"/>
      <c r="O35" s="38" t="str">
        <f>IF(COUNT(L35:N35)&lt;1,"",IF(SUM(IF(L31&lt;L35,1,0),IF(M31&lt;M35,1,0),IF(N31&lt;N35,1,0))&gt;2,"??",SUM(IF(L31&lt;L35,1,0),IF(M31&lt;M35,1,0),IF(N31&lt;N35,1,0))))</f>
        <v/>
      </c>
      <c r="P35" s="371" t="str">
        <f>IF(P33="Final-Jogador1","Disputa 3º/4º  Jogador1",IF(P33=I31,I35,I31))</f>
        <v>Disputa 3º/4º  Jogador1</v>
      </c>
      <c r="Q35" s="372"/>
      <c r="R35" s="373"/>
      <c r="S35" s="69"/>
      <c r="T35" s="69"/>
      <c r="U35" s="69"/>
      <c r="V35" s="49" t="str">
        <f>IF(COUNT(S35:U35)&lt;1,"",IF(SUM(IF(S35&gt;S39,1,0),IF(T35&gt;T39,1,0),IF(U35&gt;U39,1,0))&gt;2,"??",SUM(IF(S35&gt;S39,1,0),IF(T35&gt;T39,1,0),IF(U35&gt;U39,1,0))))</f>
        <v/>
      </c>
      <c r="W35" s="50"/>
      <c r="X35" s="48"/>
      <c r="Y35" s="53"/>
      <c r="Z35" s="53"/>
      <c r="AA35" s="53"/>
      <c r="AB35" s="53"/>
      <c r="AC35" s="53"/>
      <c r="AD35" s="54"/>
      <c r="AE35" s="113"/>
      <c r="AN35" s="292"/>
      <c r="AO35" s="293"/>
      <c r="AP35" s="398"/>
      <c r="AQ35" s="398"/>
      <c r="AR35" s="398"/>
      <c r="AS35" s="290"/>
      <c r="AT35" s="291"/>
      <c r="AU35" s="291"/>
      <c r="AV35" s="290"/>
      <c r="AW35" s="291"/>
      <c r="AX35" s="291"/>
      <c r="AY35" s="290"/>
    </row>
    <row r="36" spans="2:51" ht="15.75" customHeight="1">
      <c r="B36" s="126"/>
      <c r="C36" s="369" t="str">
        <f>IF(R12="","1º do grupo C",R12)</f>
        <v>1º do grupo C</v>
      </c>
      <c r="D36" s="370"/>
      <c r="E36" s="69"/>
      <c r="F36" s="69"/>
      <c r="G36" s="70"/>
      <c r="H36" s="35" t="str">
        <f>IF(COUNT(E36:G36)&lt;1,"",IF(SUM(IF(E34&lt;E36,1,0),IF(F34&lt;F36,1,0),IF(G34&lt;G36,1,0))&gt;2,"??",SUM(IF(E34&lt;E36,1,0),IF(F34&lt;F36,1,0),IF(G34&lt;G36,1,0))))</f>
        <v/>
      </c>
      <c r="I36" s="36"/>
      <c r="J36" s="40"/>
      <c r="K36" s="59"/>
      <c r="L36" s="46"/>
      <c r="M36" s="42"/>
      <c r="N36" s="42"/>
      <c r="O36" s="42"/>
      <c r="P36" s="55"/>
      <c r="Q36" s="51"/>
      <c r="R36" s="46"/>
      <c r="S36" s="46"/>
      <c r="T36" s="41"/>
      <c r="U36" s="41"/>
      <c r="V36" s="52"/>
      <c r="W36" s="50"/>
      <c r="X36" s="48"/>
      <c r="Y36" s="53"/>
      <c r="Z36" s="53"/>
      <c r="AA36" s="53"/>
      <c r="AB36" s="53"/>
      <c r="AC36" s="53"/>
      <c r="AD36" s="54"/>
      <c r="AE36" s="113"/>
      <c r="AN36" s="292"/>
      <c r="AO36" s="293"/>
      <c r="AP36" s="398"/>
      <c r="AQ36" s="398"/>
      <c r="AR36" s="398"/>
      <c r="AS36" s="290"/>
      <c r="AT36" s="291"/>
      <c r="AU36" s="291"/>
      <c r="AV36" s="290"/>
      <c r="AW36" s="291"/>
      <c r="AX36" s="291"/>
      <c r="AY36" s="290"/>
    </row>
    <row r="37" spans="2:51" ht="27" customHeight="1">
      <c r="B37" s="126"/>
      <c r="C37" s="127" t="s">
        <v>60</v>
      </c>
      <c r="D37" s="71"/>
      <c r="E37" s="118"/>
      <c r="F37" s="118"/>
      <c r="G37" s="119"/>
      <c r="H37" s="120"/>
      <c r="I37" s="55"/>
      <c r="J37" s="40"/>
      <c r="K37" s="59"/>
      <c r="L37" s="55"/>
      <c r="M37" s="42"/>
      <c r="N37" s="42"/>
      <c r="O37" s="42"/>
      <c r="P37" s="380" t="str">
        <f>IF(OR(V35="",V39="")=TRUE,"3º Classificado",IF(V35&gt;V39,P35,P39))</f>
        <v>3º Classificado</v>
      </c>
      <c r="Q37" s="380"/>
      <c r="R37" s="380"/>
      <c r="S37" s="380"/>
      <c r="T37" s="380"/>
      <c r="U37" s="380"/>
      <c r="V37" s="65">
        <v>31</v>
      </c>
      <c r="W37" s="66">
        <v>32</v>
      </c>
      <c r="X37" s="381" t="str">
        <f>IF(OR(W33="",W41="")=TRUE,"1º Classificado",IF(W33&gt;W41,P33,P41))</f>
        <v>1º Classificado</v>
      </c>
      <c r="Y37" s="382"/>
      <c r="Z37" s="382"/>
      <c r="AA37" s="382"/>
      <c r="AB37" s="382"/>
      <c r="AC37" s="382"/>
      <c r="AD37" s="54"/>
      <c r="AE37" s="113"/>
      <c r="AN37" s="292"/>
      <c r="AO37" s="293"/>
      <c r="AP37" s="398"/>
      <c r="AQ37" s="398"/>
      <c r="AR37" s="398"/>
      <c r="AS37" s="290"/>
      <c r="AT37" s="291"/>
      <c r="AU37" s="291"/>
      <c r="AV37" s="290"/>
      <c r="AW37" s="291"/>
      <c r="AX37" s="291"/>
      <c r="AY37" s="290"/>
    </row>
    <row r="38" spans="2:51" ht="15.75" customHeight="1">
      <c r="B38" s="126"/>
      <c r="C38" s="369" t="str">
        <f>IF(K12="","1º do grupo B",K12)</f>
        <v>1º do grupo B</v>
      </c>
      <c r="D38" s="370"/>
      <c r="E38" s="69"/>
      <c r="F38" s="69"/>
      <c r="G38" s="70"/>
      <c r="H38" s="35" t="str">
        <f>IF(COUNT(E38:G38)&lt;1,"",IF(SUM(IF(E38&gt;E40,1,0),IF(F38&gt;F40,1,0),IF(G38&gt;G40,1,0))&gt;2,"??",SUM(IF(E38&gt;E40,1,0),IF(F38&gt;F40,1,0),IF(G38&gt;G40,1,0))))</f>
        <v/>
      </c>
      <c r="I38" s="36"/>
      <c r="J38" s="40"/>
      <c r="K38" s="59"/>
      <c r="L38" s="55"/>
      <c r="M38" s="42"/>
      <c r="N38" s="42"/>
      <c r="O38" s="42"/>
      <c r="P38" s="55"/>
      <c r="Q38" s="40"/>
      <c r="R38" s="55"/>
      <c r="S38" s="55"/>
      <c r="T38" s="42"/>
      <c r="U38" s="42"/>
      <c r="V38" s="56"/>
      <c r="W38" s="50"/>
      <c r="X38" s="48"/>
      <c r="Y38" s="402" t="s">
        <v>5</v>
      </c>
      <c r="Z38" s="402"/>
      <c r="AA38" s="402"/>
      <c r="AB38" s="402"/>
      <c r="AC38" s="402"/>
      <c r="AD38" s="54"/>
      <c r="AE38" s="113"/>
      <c r="AN38" s="292"/>
      <c r="AO38" s="293"/>
      <c r="AP38" s="398"/>
      <c r="AQ38" s="398"/>
      <c r="AR38" s="398"/>
      <c r="AS38" s="290"/>
      <c r="AT38" s="291"/>
      <c r="AU38" s="291"/>
      <c r="AV38" s="290"/>
      <c r="AW38" s="291"/>
      <c r="AX38" s="291"/>
      <c r="AY38" s="290"/>
    </row>
    <row r="39" spans="2:51" ht="15.75" customHeight="1">
      <c r="B39" s="126"/>
      <c r="C39" s="68"/>
      <c r="D39" s="37"/>
      <c r="E39" s="55"/>
      <c r="F39" s="41"/>
      <c r="G39" s="44"/>
      <c r="H39" s="63">
        <v>27</v>
      </c>
      <c r="I39" s="374" t="str">
        <f>IF(OR(H38="",H40="")=TRUE,"2ª Meia Final-Jogador1",IF(H38&gt;H40,C38,C40))</f>
        <v>2ª Meia Final-Jogador1</v>
      </c>
      <c r="J39" s="369"/>
      <c r="K39" s="370"/>
      <c r="L39" s="69"/>
      <c r="M39" s="69"/>
      <c r="N39" s="70"/>
      <c r="O39" s="38" t="str">
        <f>IF(COUNT(L39:N39)&lt;1,"",IF(SUM(IF(L39&gt;L43,1,0),IF(M39&gt;M43,1,0),IF(N39&gt;N43,1,0))&gt;2,"??",SUM(IF(L39&gt;L43,1,0),IF(M39&gt;M43,1,0),IF(N39&gt;N43,1,0))))</f>
        <v/>
      </c>
      <c r="P39" s="371" t="str">
        <f>IF(P41="Final-Jogador2","Disputa 3º/4º  Jogador2",IF(P41=I39,I43,I39))</f>
        <v>Disputa 3º/4º  Jogador2</v>
      </c>
      <c r="Q39" s="372"/>
      <c r="R39" s="373"/>
      <c r="S39" s="69"/>
      <c r="T39" s="69"/>
      <c r="U39" s="69"/>
      <c r="V39" s="49" t="str">
        <f>IF(COUNT(S39:U39)&lt;1,"",IF(SUM(IF(S35&lt;S39,1,0),IF(T35&lt;T39,1,0),IF(U35&lt;U39,1,0))&gt;2,"??",SUM(IF(S35&lt;S39,1,0),IF(T35&lt;T39,1,0),IF(U35&lt;U39,1,0))))</f>
        <v/>
      </c>
      <c r="W39" s="50"/>
      <c r="X39" s="48"/>
      <c r="Y39" s="53"/>
      <c r="Z39" s="53"/>
      <c r="AA39" s="53"/>
      <c r="AB39" s="57"/>
      <c r="AC39" s="57"/>
      <c r="AD39" s="58"/>
      <c r="AE39" s="113"/>
      <c r="AN39" s="292"/>
      <c r="AO39" s="293"/>
      <c r="AP39" s="398"/>
      <c r="AQ39" s="398"/>
      <c r="AR39" s="398"/>
      <c r="AS39" s="290"/>
      <c r="AT39" s="291"/>
      <c r="AU39" s="291"/>
      <c r="AV39" s="290"/>
      <c r="AW39" s="291"/>
      <c r="AX39" s="291"/>
      <c r="AY39" s="290"/>
    </row>
    <row r="40" spans="2:51" ht="15.75" customHeight="1">
      <c r="B40" s="126"/>
      <c r="C40" s="369" t="str">
        <f>IF(D13="","2º do grupo A",D13)</f>
        <v>A4</v>
      </c>
      <c r="D40" s="370"/>
      <c r="E40" s="69"/>
      <c r="F40" s="69"/>
      <c r="G40" s="70"/>
      <c r="H40" s="35" t="str">
        <f>IF(COUNT(E40:G40)&lt;1,"",IF(SUM(IF(E38&lt;E40,1,0),IF(F38&lt;F40,1,0),IF(G38&lt;G40,1,0))&gt;2,"??",SUM(IF(E38&lt;E40,1,0),IF(F38&lt;F40,1,0),IF(G38&lt;G40,1,0))))</f>
        <v/>
      </c>
      <c r="I40" s="36"/>
      <c r="J40" s="40"/>
      <c r="K40" s="59"/>
      <c r="L40" s="55"/>
      <c r="M40" s="41"/>
      <c r="N40" s="41"/>
      <c r="O40" s="42"/>
      <c r="P40" s="36"/>
      <c r="Q40" s="51"/>
      <c r="R40" s="46"/>
      <c r="S40" s="55"/>
      <c r="T40" s="42"/>
      <c r="U40" s="42"/>
      <c r="V40" s="67"/>
      <c r="W40" s="50"/>
      <c r="X40" s="48"/>
      <c r="Y40" s="53"/>
      <c r="Z40" s="53"/>
      <c r="AA40" s="53"/>
      <c r="AB40" s="53"/>
      <c r="AC40" s="53"/>
      <c r="AD40" s="54"/>
      <c r="AE40" s="113"/>
      <c r="AN40" s="292"/>
      <c r="AO40" s="293"/>
      <c r="AP40" s="398"/>
      <c r="AQ40" s="398"/>
      <c r="AR40" s="398"/>
      <c r="AS40" s="290"/>
      <c r="AT40" s="291"/>
      <c r="AU40" s="291"/>
      <c r="AV40" s="290"/>
      <c r="AW40" s="291"/>
      <c r="AX40" s="291"/>
      <c r="AY40" s="290"/>
    </row>
    <row r="41" spans="2:51" ht="15.75" customHeight="1">
      <c r="B41" s="126"/>
      <c r="C41" s="68"/>
      <c r="D41" s="37"/>
      <c r="E41" s="55"/>
      <c r="F41" s="42"/>
      <c r="G41" s="44"/>
      <c r="H41" s="121"/>
      <c r="I41" s="55"/>
      <c r="J41" s="40"/>
      <c r="K41" s="59"/>
      <c r="L41" s="55"/>
      <c r="M41" s="42"/>
      <c r="N41" s="42"/>
      <c r="O41" s="64">
        <v>30</v>
      </c>
      <c r="P41" s="374" t="str">
        <f>IF(OR(O39="",O43="")=TRUE,"Final-Jogador2",IF(O39&gt;O43,I39,I43))</f>
        <v>Final-Jogador2</v>
      </c>
      <c r="Q41" s="369"/>
      <c r="R41" s="369"/>
      <c r="S41" s="370"/>
      <c r="T41" s="69"/>
      <c r="U41" s="69"/>
      <c r="V41" s="69"/>
      <c r="W41" s="45" t="str">
        <f>IF(COUNT(T41:V41)&lt;1,"",IF(SUM(IF(T33&lt;T41,1,0),IF(U33&lt;U41,1,0),IF(V33&lt;V41,1,0))&gt;2,"??",SUM(IF(T33&lt;T41,1,0),IF(U33&lt;U41,1,0),IF(V33&lt;V41,1,0))))</f>
        <v/>
      </c>
      <c r="X41" s="48"/>
      <c r="Y41" s="53"/>
      <c r="Z41" s="53"/>
      <c r="AA41" s="53"/>
      <c r="AB41" s="53"/>
      <c r="AC41" s="53"/>
      <c r="AD41" s="54"/>
      <c r="AE41" s="113"/>
      <c r="AN41" s="292"/>
      <c r="AO41" s="293"/>
      <c r="AP41" s="398"/>
      <c r="AQ41" s="398"/>
      <c r="AR41" s="398"/>
      <c r="AS41" s="290"/>
      <c r="AT41" s="291"/>
      <c r="AU41" s="291"/>
      <c r="AV41" s="290"/>
      <c r="AW41" s="291"/>
      <c r="AX41" s="291"/>
      <c r="AY41" s="290"/>
    </row>
    <row r="42" spans="2:51" ht="15.75" customHeight="1">
      <c r="B42" s="126"/>
      <c r="C42" s="369" t="str">
        <f>IF(R13="","2º do grupo C",R13)</f>
        <v>2º do grupo C</v>
      </c>
      <c r="D42" s="370"/>
      <c r="E42" s="69"/>
      <c r="F42" s="69"/>
      <c r="G42" s="70"/>
      <c r="H42" s="35" t="str">
        <f>IF(COUNT(E42:G42)&lt;1,"",IF(SUM(IF(E42&gt;E44,1,0),IF(F42&gt;F44,1,0),IF(G42&gt;G44,1,0))&gt;2,"??",SUM(IF(E42&gt;E44,1,0),IF(F42&gt;F44,1,0),IF(G42&gt;G44,1,0))))</f>
        <v/>
      </c>
      <c r="I42" s="36"/>
      <c r="J42" s="40"/>
      <c r="K42" s="59"/>
      <c r="L42" s="55"/>
      <c r="M42" s="42"/>
      <c r="N42" s="42"/>
      <c r="O42" s="42"/>
      <c r="P42" s="36"/>
      <c r="Q42" s="40"/>
      <c r="R42" s="55"/>
      <c r="S42" s="46"/>
      <c r="T42" s="55"/>
      <c r="U42" s="55"/>
      <c r="V42" s="60"/>
      <c r="W42" s="53"/>
      <c r="X42" s="48"/>
      <c r="Y42" s="53"/>
      <c r="Z42" s="53"/>
      <c r="AA42" s="53"/>
      <c r="AB42" s="53"/>
      <c r="AC42" s="53"/>
      <c r="AD42" s="54"/>
      <c r="AE42" s="113"/>
      <c r="AN42" s="292"/>
      <c r="AO42" s="293"/>
      <c r="AP42" s="398"/>
      <c r="AQ42" s="398"/>
      <c r="AR42" s="398"/>
      <c r="AS42" s="290"/>
      <c r="AT42" s="291"/>
      <c r="AU42" s="291"/>
      <c r="AV42" s="290"/>
      <c r="AW42" s="291"/>
      <c r="AX42" s="291"/>
      <c r="AY42" s="290"/>
    </row>
    <row r="43" spans="2:51" ht="15.75" customHeight="1">
      <c r="B43" s="126"/>
      <c r="C43" s="68"/>
      <c r="D43" s="37"/>
      <c r="E43" s="55"/>
      <c r="F43" s="42"/>
      <c r="G43" s="44"/>
      <c r="H43" s="63">
        <v>28</v>
      </c>
      <c r="I43" s="374" t="str">
        <f>IF(OR(H42="",H44="")=TRUE,"2ª Meia Final-Jogador2",IF(H42&gt;H44,C42,C44))</f>
        <v>2ª Meia Final-Jogador2</v>
      </c>
      <c r="J43" s="369"/>
      <c r="K43" s="370"/>
      <c r="L43" s="69"/>
      <c r="M43" s="69"/>
      <c r="N43" s="70"/>
      <c r="O43" s="35" t="str">
        <f>IF(COUNT(L43:N43)&lt;1,"",IF(SUM(IF(L39&lt;L43,1,0),IF(M39&lt;M43,1,0),IF(N39&lt;N43,1,0))&gt;2,"??",SUM(IF(L39&lt;L43,1,0),IF(M39&lt;M43,1,0),IF(N39&lt;N43,1,0))))</f>
        <v/>
      </c>
      <c r="P43" s="36"/>
      <c r="Q43" s="40"/>
      <c r="R43" s="55"/>
      <c r="S43" s="55"/>
      <c r="T43" s="55"/>
      <c r="U43" s="55"/>
      <c r="V43" s="55"/>
      <c r="W43" s="54"/>
      <c r="X43" s="68"/>
      <c r="Y43" s="54"/>
      <c r="Z43" s="54"/>
      <c r="AA43" s="54"/>
      <c r="AB43" s="54"/>
      <c r="AC43" s="54"/>
      <c r="AD43" s="54"/>
      <c r="AE43" s="113"/>
      <c r="AN43" s="292"/>
      <c r="AO43" s="293"/>
      <c r="AP43" s="398"/>
      <c r="AQ43" s="398"/>
      <c r="AR43" s="398"/>
      <c r="AS43" s="290"/>
      <c r="AT43" s="291"/>
      <c r="AU43" s="291"/>
      <c r="AV43" s="290"/>
      <c r="AW43" s="291"/>
      <c r="AX43" s="291"/>
      <c r="AY43" s="290"/>
    </row>
    <row r="44" spans="2:51" ht="15.75" customHeight="1">
      <c r="B44" s="126"/>
      <c r="C44" s="369" t="str">
        <f>IF(Y12="","1º do grupo D",Y12)</f>
        <v>1º do grupo D</v>
      </c>
      <c r="D44" s="370"/>
      <c r="E44" s="69"/>
      <c r="F44" s="69"/>
      <c r="G44" s="70"/>
      <c r="H44" s="35" t="str">
        <f>IF(COUNT(E44:G44)&lt;1,"",IF(SUM(IF(E42&lt;E44,1,0),IF(F42&lt;F44,1,0),IF(G42&lt;G44,1,0))&gt;2,"??",SUM(IF(E42&lt;E44,1,0),IF(F42&lt;F44,1,0),IF(G42&lt;G44,1,0))))</f>
        <v/>
      </c>
      <c r="I44" s="36"/>
      <c r="J44" s="40"/>
      <c r="K44" s="55"/>
      <c r="L44" s="46"/>
      <c r="M44" s="55"/>
      <c r="N44" s="55"/>
      <c r="O44" s="55"/>
      <c r="P44" s="55"/>
      <c r="Q44" s="40"/>
      <c r="R44" s="55"/>
      <c r="S44" s="55"/>
      <c r="T44" s="55"/>
      <c r="U44" s="55"/>
      <c r="V44" s="55"/>
      <c r="W44" s="54"/>
      <c r="X44" s="68"/>
      <c r="Y44" s="54"/>
      <c r="Z44" s="54"/>
      <c r="AA44" s="54"/>
      <c r="AB44" s="54"/>
      <c r="AC44" s="54"/>
      <c r="AD44" s="54"/>
      <c r="AE44" s="113"/>
      <c r="AN44" s="292"/>
      <c r="AO44" s="293"/>
      <c r="AP44" s="398"/>
      <c r="AQ44" s="398"/>
      <c r="AR44" s="398"/>
      <c r="AS44" s="290"/>
      <c r="AT44" s="291"/>
      <c r="AU44" s="291"/>
      <c r="AV44" s="290"/>
      <c r="AW44" s="291"/>
      <c r="AX44" s="291"/>
      <c r="AY44" s="290"/>
    </row>
    <row r="45" spans="2:51" ht="11.25" customHeight="1">
      <c r="B45" s="128"/>
      <c r="C45" s="123"/>
      <c r="D45" s="129"/>
      <c r="E45" s="122"/>
      <c r="F45" s="122"/>
      <c r="G45" s="122"/>
      <c r="H45" s="122"/>
      <c r="I45" s="122"/>
      <c r="J45" s="123"/>
      <c r="K45" s="122"/>
      <c r="L45" s="122"/>
      <c r="M45" s="122"/>
      <c r="N45" s="122"/>
      <c r="O45" s="122"/>
      <c r="P45" s="122"/>
      <c r="Q45" s="123"/>
      <c r="R45" s="122"/>
      <c r="S45" s="122"/>
      <c r="T45" s="122"/>
      <c r="U45" s="122"/>
      <c r="V45" s="122"/>
      <c r="W45" s="122"/>
      <c r="X45" s="123"/>
      <c r="Y45" s="122"/>
      <c r="Z45" s="122"/>
      <c r="AA45" s="122"/>
      <c r="AB45" s="122"/>
      <c r="AC45" s="122"/>
      <c r="AD45" s="122"/>
      <c r="AE45" s="124"/>
      <c r="AN45" s="292"/>
      <c r="AO45" s="293"/>
      <c r="AP45" s="398"/>
      <c r="AQ45" s="398"/>
      <c r="AR45" s="398"/>
      <c r="AS45" s="290"/>
      <c r="AT45" s="291"/>
      <c r="AU45" s="291"/>
      <c r="AV45" s="290"/>
      <c r="AW45" s="291"/>
      <c r="AX45" s="291"/>
      <c r="AY45" s="290"/>
    </row>
    <row r="46" spans="2:51" ht="4.5" customHeight="1">
      <c r="AN46" s="292"/>
      <c r="AO46" s="293"/>
      <c r="AP46" s="398"/>
      <c r="AQ46" s="398"/>
      <c r="AR46" s="398"/>
      <c r="AS46" s="290"/>
      <c r="AT46" s="291"/>
      <c r="AU46" s="291"/>
      <c r="AV46" s="290"/>
      <c r="AW46" s="291"/>
      <c r="AX46" s="291"/>
      <c r="AY46" s="290"/>
    </row>
    <row r="47" spans="2:51" ht="13.5" thickBot="1">
      <c r="D47" s="54"/>
      <c r="H47" s="125"/>
      <c r="I47" s="61"/>
      <c r="J47" s="167"/>
      <c r="K47" s="61"/>
      <c r="L47" s="61"/>
      <c r="M47" s="61"/>
      <c r="N47" s="61"/>
      <c r="O47" s="61"/>
      <c r="P47" s="61"/>
      <c r="Q47" s="167"/>
      <c r="R47" s="61"/>
      <c r="S47" s="61"/>
      <c r="T47" s="61"/>
      <c r="U47" s="61"/>
      <c r="V47" s="61"/>
      <c r="W47" s="61"/>
      <c r="X47" s="167"/>
      <c r="Y47" s="61"/>
      <c r="Z47" s="61"/>
      <c r="AA47" s="61"/>
      <c r="AB47" s="61"/>
      <c r="AC47" s="61"/>
      <c r="AD47" s="61"/>
      <c r="AE47" s="3"/>
      <c r="AN47" s="292"/>
      <c r="AO47" s="293"/>
      <c r="AP47" s="398"/>
      <c r="AQ47" s="398"/>
      <c r="AR47" s="398"/>
      <c r="AS47" s="290"/>
      <c r="AT47" s="291"/>
      <c r="AU47" s="291"/>
      <c r="AV47" s="290"/>
      <c r="AW47" s="291"/>
      <c r="AX47" s="291"/>
      <c r="AY47" s="290"/>
    </row>
    <row r="48" spans="2:51">
      <c r="D48" s="54"/>
      <c r="H48" s="126"/>
      <c r="I48" s="388" t="s">
        <v>48</v>
      </c>
      <c r="J48" s="388"/>
      <c r="K48" s="388"/>
      <c r="L48" s="388"/>
      <c r="M48" s="388"/>
      <c r="N48" s="388"/>
      <c r="O48" s="388"/>
      <c r="P48" s="388"/>
      <c r="Q48" s="388"/>
      <c r="R48" s="388"/>
      <c r="S48" s="388"/>
      <c r="T48" s="388"/>
      <c r="U48" s="388"/>
      <c r="V48" s="388"/>
      <c r="W48" s="388"/>
      <c r="X48" s="68"/>
      <c r="Y48" s="389" t="s">
        <v>0</v>
      </c>
      <c r="Z48" s="390"/>
      <c r="AA48" s="390"/>
      <c r="AB48" s="390"/>
      <c r="AC48" s="390"/>
      <c r="AD48" s="391"/>
      <c r="AE48" s="113"/>
      <c r="AN48" s="292"/>
      <c r="AO48" s="293"/>
      <c r="AP48" s="398"/>
      <c r="AQ48" s="398"/>
      <c r="AR48" s="398"/>
      <c r="AS48" s="290"/>
      <c r="AT48" s="291"/>
      <c r="AU48" s="291"/>
      <c r="AV48" s="290"/>
      <c r="AW48" s="291"/>
      <c r="AX48" s="291"/>
      <c r="AY48" s="290"/>
    </row>
    <row r="49" spans="2:53" ht="13.5" thickBot="1">
      <c r="B49" s="401"/>
      <c r="C49" s="401"/>
      <c r="D49" s="401"/>
      <c r="E49" s="182"/>
      <c r="H49" s="126"/>
      <c r="I49" s="388"/>
      <c r="J49" s="388"/>
      <c r="K49" s="388"/>
      <c r="L49" s="388"/>
      <c r="M49" s="388"/>
      <c r="N49" s="388"/>
      <c r="O49" s="388"/>
      <c r="P49" s="388"/>
      <c r="Q49" s="388"/>
      <c r="R49" s="388"/>
      <c r="S49" s="388"/>
      <c r="T49" s="388"/>
      <c r="U49" s="388"/>
      <c r="V49" s="388"/>
      <c r="W49" s="388"/>
      <c r="X49" s="68"/>
      <c r="Y49" s="392"/>
      <c r="Z49" s="393"/>
      <c r="AA49" s="393"/>
      <c r="AB49" s="393"/>
      <c r="AC49" s="393"/>
      <c r="AD49" s="394"/>
      <c r="AE49" s="113"/>
      <c r="AN49" s="292"/>
      <c r="AO49" s="293"/>
      <c r="AP49" s="398"/>
      <c r="AQ49" s="398"/>
      <c r="AR49" s="398"/>
      <c r="AS49" s="290"/>
      <c r="AT49" s="291"/>
      <c r="AU49" s="291"/>
      <c r="AV49" s="290"/>
      <c r="AW49" s="291"/>
      <c r="AX49" s="291"/>
      <c r="AY49" s="290"/>
    </row>
    <row r="50" spans="2:53" ht="15.75">
      <c r="H50" s="126"/>
      <c r="I50" s="369" t="str">
        <f>IF(I31="1ª Meia Final-Jogador1",CONCATENATE("Vencido do jogo ",H31),IF(I31=C30,C32,C30))</f>
        <v>Vencido do jogo 25</v>
      </c>
      <c r="J50" s="369"/>
      <c r="K50" s="370"/>
      <c r="L50" s="69"/>
      <c r="M50" s="69"/>
      <c r="N50" s="70"/>
      <c r="O50" s="38" t="str">
        <f>IF(COUNT(L50:N50)&lt;1,"",IF(SUM(IF(L50&gt;L54,1,0),IF(M50&gt;M54,1,0),IF(N50&gt;N54,1,0))&gt;2,"??",SUM(IF(L50&gt;L54,1,0),IF(M50&gt;M54,1,0),IF(N50&gt;N54,1,0))))</f>
        <v/>
      </c>
      <c r="P50" s="55"/>
      <c r="Q50" s="40"/>
      <c r="R50" s="55"/>
      <c r="S50" s="55"/>
      <c r="T50" s="55"/>
      <c r="U50" s="55"/>
      <c r="V50" s="55"/>
      <c r="W50" s="54"/>
      <c r="X50" s="68"/>
      <c r="Y50" s="395" t="str">
        <f>IF(X56="5º Classificado","",X56)</f>
        <v/>
      </c>
      <c r="Z50" s="396"/>
      <c r="AA50" s="396"/>
      <c r="AB50" s="396"/>
      <c r="AC50" s="396"/>
      <c r="AD50" s="39" t="s">
        <v>36</v>
      </c>
      <c r="AE50" s="113"/>
      <c r="AN50" s="292"/>
      <c r="AO50" s="293"/>
      <c r="AP50" s="398"/>
      <c r="AQ50" s="398"/>
      <c r="AR50" s="398"/>
      <c r="AS50" s="290"/>
      <c r="AT50" s="291"/>
      <c r="AU50" s="291"/>
      <c r="AV50" s="290"/>
      <c r="AW50" s="291"/>
      <c r="AX50" s="291"/>
      <c r="AY50" s="290"/>
    </row>
    <row r="51" spans="2:53" ht="15" customHeight="1">
      <c r="H51" s="126"/>
      <c r="I51" s="55"/>
      <c r="J51" s="40"/>
      <c r="K51" s="59"/>
      <c r="L51" s="55"/>
      <c r="M51" s="41"/>
      <c r="N51" s="41"/>
      <c r="O51" s="42"/>
      <c r="P51" s="36"/>
      <c r="Q51" s="40"/>
      <c r="R51" s="55"/>
      <c r="S51" s="55"/>
      <c r="T51" s="55"/>
      <c r="U51" s="55"/>
      <c r="V51" s="60"/>
      <c r="W51" s="53"/>
      <c r="X51" s="48"/>
      <c r="Y51" s="384" t="str">
        <f>IF(Y50="","",IF(Y50=P52,P60,P52))</f>
        <v/>
      </c>
      <c r="Z51" s="385" t="e">
        <f>IF(#REF!="","",IF(#REF!=W51,"","(2º) "))</f>
        <v>#REF!</v>
      </c>
      <c r="AA51" s="385" t="e">
        <f>IF(#REF!="","",IF(#REF!=X51,"","(2º) "))</f>
        <v>#REF!</v>
      </c>
      <c r="AB51" s="385" t="e">
        <f>IF(#REF!="","",IF(#REF!=Y51,"","(2º) "))</f>
        <v>#REF!</v>
      </c>
      <c r="AC51" s="385" t="e">
        <f>IF(#REF!="","",IF(#REF!=Z51,"","(2º) "))</f>
        <v>#REF!</v>
      </c>
      <c r="AD51" s="43" t="s">
        <v>37</v>
      </c>
      <c r="AE51" s="113"/>
      <c r="AN51" s="292"/>
      <c r="AO51" s="293"/>
      <c r="AP51" s="398"/>
      <c r="AQ51" s="398"/>
      <c r="AR51" s="398"/>
      <c r="AS51" s="290"/>
      <c r="AT51" s="291"/>
      <c r="AU51" s="291"/>
      <c r="AV51" s="290"/>
      <c r="AW51" s="291"/>
      <c r="AX51" s="291"/>
      <c r="AY51" s="290"/>
    </row>
    <row r="52" spans="2:53" ht="15" customHeight="1">
      <c r="H52" s="126"/>
      <c r="I52" s="55"/>
      <c r="J52" s="40"/>
      <c r="K52" s="59"/>
      <c r="L52" s="55"/>
      <c r="M52" s="42"/>
      <c r="N52" s="42"/>
      <c r="O52" s="64">
        <v>33</v>
      </c>
      <c r="P52" s="374" t="str">
        <f>IF(OR(O50="",O54="")=TRUE,"Disputa 5º/6º Jogador1",IF(O50&gt;O54,I50,I54))</f>
        <v>Disputa 5º/6º Jogador1</v>
      </c>
      <c r="Q52" s="369"/>
      <c r="R52" s="369"/>
      <c r="S52" s="370"/>
      <c r="T52" s="69"/>
      <c r="U52" s="69"/>
      <c r="V52" s="69"/>
      <c r="W52" s="45" t="str">
        <f>IF(COUNT(T52:V52)&lt;1,"",IF(SUM(IF(T52&gt;T60,1,0),IF(U52&gt;U60,1,0),IF(V52&gt;V60,1,0))&gt;2,"??",SUM(IF(T52&gt;T60,1,0),IF(U52&gt;U60,1,0),IF(V52&gt;V60,1,0))))</f>
        <v/>
      </c>
      <c r="X52" s="48"/>
      <c r="Y52" s="384" t="str">
        <f>IF(P56="7º Classificado","",P56)</f>
        <v/>
      </c>
      <c r="Z52" s="385"/>
      <c r="AA52" s="385"/>
      <c r="AB52" s="385"/>
      <c r="AC52" s="385"/>
      <c r="AD52" s="43" t="s">
        <v>38</v>
      </c>
      <c r="AE52" s="113"/>
      <c r="AN52" s="292"/>
      <c r="AO52" s="293"/>
      <c r="AP52" s="398"/>
      <c r="AQ52" s="398"/>
      <c r="AR52" s="398"/>
      <c r="AS52" s="290"/>
      <c r="AT52" s="291"/>
      <c r="AU52" s="291"/>
      <c r="AV52" s="290"/>
      <c r="AW52" s="291"/>
      <c r="AX52" s="291"/>
      <c r="AY52" s="290"/>
    </row>
    <row r="53" spans="2:53" ht="15.75" thickBot="1">
      <c r="H53" s="126"/>
      <c r="I53" s="55"/>
      <c r="J53" s="40"/>
      <c r="K53" s="59"/>
      <c r="L53" s="55"/>
      <c r="M53" s="42"/>
      <c r="N53" s="42"/>
      <c r="O53" s="42"/>
      <c r="P53" s="36"/>
      <c r="Q53" s="40"/>
      <c r="R53" s="55"/>
      <c r="S53" s="46"/>
      <c r="T53" s="42"/>
      <c r="U53" s="42"/>
      <c r="V53" s="67"/>
      <c r="W53" s="47"/>
      <c r="X53" s="48"/>
      <c r="Y53" s="386" t="str">
        <f>IF(Y52="","",IF(Y52=P54,P58,P54))</f>
        <v/>
      </c>
      <c r="Z53" s="387" t="e">
        <f>IF(#REF!="","",IF(#REF!=W53,"","(2º) "))</f>
        <v>#REF!</v>
      </c>
      <c r="AA53" s="387" t="e">
        <f>IF(#REF!="","",IF(#REF!=X53,"","(2º) "))</f>
        <v>#REF!</v>
      </c>
      <c r="AB53" s="387" t="e">
        <f>IF(#REF!="","",IF(#REF!=Y53,"","(2º) "))</f>
        <v>#REF!</v>
      </c>
      <c r="AC53" s="387" t="e">
        <f>IF(#REF!="","",IF(#REF!=Z53,"","(2º) "))</f>
        <v>#REF!</v>
      </c>
      <c r="AD53" s="164" t="s">
        <v>39</v>
      </c>
      <c r="AE53" s="113"/>
      <c r="AN53" s="292"/>
      <c r="AO53" s="293"/>
      <c r="AP53" s="398"/>
      <c r="AQ53" s="398"/>
      <c r="AR53" s="398"/>
      <c r="AS53" s="290"/>
      <c r="AT53" s="291"/>
      <c r="AU53" s="291"/>
      <c r="AV53" s="290"/>
      <c r="AW53" s="291"/>
      <c r="AX53" s="291"/>
      <c r="AY53" s="290"/>
    </row>
    <row r="54" spans="2:53" ht="15">
      <c r="H54" s="126"/>
      <c r="I54" s="369" t="str">
        <f>IF(I35="1ª Meia Final-Jogador2",CONCATENATE("Vencido do jogo ",H35),IF(I35=C34,C36,C34))</f>
        <v>Vencido do jogo 26</v>
      </c>
      <c r="J54" s="369"/>
      <c r="K54" s="370"/>
      <c r="L54" s="69"/>
      <c r="M54" s="69"/>
      <c r="N54" s="70"/>
      <c r="O54" s="38" t="str">
        <f>IF(COUNT(L54:N54)&lt;1,"",IF(SUM(IF(L50&lt;L54,1,0),IF(M50&lt;M54,1,0),IF(N50&lt;N54,1,0))&gt;2,"??",SUM(IF(L50&lt;L54,1,0),IF(M50&lt;M54,1,0),IF(N50&lt;N54,1,0))))</f>
        <v/>
      </c>
      <c r="P54" s="371" t="str">
        <f>IF(P52="Disputa 5º/6º Jogador1","Disputa 7º/8º  Jogador1",IF(P52=I50,I54,I50))</f>
        <v>Disputa 7º/8º  Jogador1</v>
      </c>
      <c r="Q54" s="399"/>
      <c r="R54" s="400"/>
      <c r="S54" s="69"/>
      <c r="T54" s="69"/>
      <c r="U54" s="69"/>
      <c r="V54" s="49" t="str">
        <f>IF(COUNT(S54:U54)&lt;1,"",IF(SUM(IF(S54&gt;S58,1,0),IF(T54&gt;T58,1,0),IF(U54&gt;U58,1,0))&gt;2,"??",SUM(IF(S54&gt;S58,1,0),IF(T54&gt;T58,1,0),IF(U54&gt;U58,1,0))))</f>
        <v/>
      </c>
      <c r="W54" s="50"/>
      <c r="X54" s="48"/>
      <c r="Y54" s="53"/>
      <c r="Z54" s="53"/>
      <c r="AA54" s="53"/>
      <c r="AB54" s="53"/>
      <c r="AC54" s="53"/>
      <c r="AD54" s="54"/>
      <c r="AE54" s="113"/>
      <c r="AN54" s="292"/>
      <c r="AO54" s="293"/>
      <c r="AP54" s="398"/>
      <c r="AQ54" s="398"/>
      <c r="AR54" s="398"/>
      <c r="AS54" s="290"/>
      <c r="AT54" s="291"/>
      <c r="AU54" s="291"/>
      <c r="AV54" s="290"/>
      <c r="AW54" s="291"/>
      <c r="AX54" s="291"/>
      <c r="AY54" s="290"/>
    </row>
    <row r="55" spans="2:53" ht="12.75" customHeight="1">
      <c r="H55" s="126"/>
      <c r="I55" s="55"/>
      <c r="J55" s="40"/>
      <c r="K55" s="59"/>
      <c r="L55" s="46"/>
      <c r="M55" s="42"/>
      <c r="N55" s="42"/>
      <c r="O55" s="42"/>
      <c r="P55" s="55"/>
      <c r="Q55" s="51"/>
      <c r="R55" s="46"/>
      <c r="S55" s="46"/>
      <c r="T55" s="41"/>
      <c r="U55" s="41"/>
      <c r="V55" s="52"/>
      <c r="W55" s="50"/>
      <c r="X55" s="48"/>
      <c r="Y55" s="53"/>
      <c r="Z55" s="53"/>
      <c r="AA55" s="53"/>
      <c r="AB55" s="53"/>
      <c r="AC55" s="53"/>
      <c r="AD55" s="54"/>
      <c r="AE55" s="113"/>
      <c r="AN55" s="176"/>
      <c r="AO55" s="285"/>
      <c r="AP55" s="285"/>
      <c r="AQ55" s="172"/>
      <c r="AR55" s="173"/>
      <c r="AS55" s="174"/>
      <c r="AT55" s="171"/>
      <c r="AU55" s="171"/>
      <c r="AV55" s="174"/>
      <c r="AW55" s="171"/>
      <c r="AX55" s="171"/>
      <c r="AY55" s="174"/>
      <c r="AZ55" s="108"/>
      <c r="BA55" s="108"/>
    </row>
    <row r="56" spans="2:53" ht="15.75">
      <c r="H56" s="126"/>
      <c r="I56" s="55"/>
      <c r="J56" s="40"/>
      <c r="K56" s="59"/>
      <c r="L56" s="55"/>
      <c r="M56" s="42"/>
      <c r="N56" s="42"/>
      <c r="O56" s="42"/>
      <c r="P56" s="397" t="str">
        <f>IF(OR(V54="",V58="")=TRUE,"7º Classificado",IF(V54&gt;V58,P54,P58))</f>
        <v>7º Classificado</v>
      </c>
      <c r="Q56" s="397"/>
      <c r="R56" s="397"/>
      <c r="S56" s="397"/>
      <c r="T56" s="397"/>
      <c r="U56" s="397"/>
      <c r="V56" s="65">
        <v>35</v>
      </c>
      <c r="W56" s="66">
        <v>36</v>
      </c>
      <c r="X56" s="381" t="str">
        <f>IF(OR(W52="",W60="")=TRUE,"5º Classificado",IF(W52&gt;W60,P52,P60))</f>
        <v>5º Classificado</v>
      </c>
      <c r="Y56" s="382"/>
      <c r="Z56" s="382"/>
      <c r="AA56" s="382"/>
      <c r="AB56" s="382"/>
      <c r="AC56" s="382"/>
      <c r="AD56" s="54"/>
      <c r="AE56" s="113"/>
      <c r="AN56" s="176"/>
      <c r="AO56" s="285"/>
      <c r="AP56" s="285"/>
      <c r="AQ56" s="172"/>
      <c r="AR56" s="173"/>
      <c r="AS56" s="174"/>
      <c r="AT56" s="171"/>
      <c r="AU56" s="171"/>
      <c r="AV56" s="174"/>
      <c r="AW56" s="171"/>
      <c r="AX56" s="171"/>
      <c r="AY56" s="174"/>
      <c r="AZ56" s="108"/>
      <c r="BA56" s="108"/>
    </row>
    <row r="57" spans="2:53" ht="15">
      <c r="H57" s="126"/>
      <c r="I57" s="55"/>
      <c r="J57" s="40"/>
      <c r="K57" s="59"/>
      <c r="L57" s="55"/>
      <c r="M57" s="42"/>
      <c r="N57" s="42"/>
      <c r="O57" s="42"/>
      <c r="P57" s="55"/>
      <c r="Q57" s="40"/>
      <c r="R57" s="55"/>
      <c r="S57" s="55"/>
      <c r="T57" s="42"/>
      <c r="U57" s="42"/>
      <c r="V57" s="56"/>
      <c r="W57" s="50"/>
      <c r="X57" s="48"/>
      <c r="Y57" s="383"/>
      <c r="Z57" s="383"/>
      <c r="AA57" s="383"/>
      <c r="AB57" s="383"/>
      <c r="AC57" s="383"/>
      <c r="AD57" s="54"/>
      <c r="AE57" s="113"/>
      <c r="AN57" s="176"/>
      <c r="AO57" s="285"/>
      <c r="AP57" s="285"/>
      <c r="AQ57" s="172"/>
      <c r="AR57" s="173"/>
      <c r="AS57" s="174"/>
      <c r="AT57" s="171"/>
      <c r="AU57" s="171"/>
      <c r="AV57" s="174"/>
      <c r="AW57" s="171"/>
      <c r="AX57" s="171"/>
      <c r="AY57" s="174"/>
      <c r="AZ57" s="108"/>
      <c r="BA57" s="108"/>
    </row>
    <row r="58" spans="2:53" ht="15">
      <c r="H58" s="126"/>
      <c r="I58" s="369" t="str">
        <f>IF(I39="2ª Meia Final-Jogador1",CONCATENATE("Vencido do jogo ",H39),IF(I39=C38,C40,C38))</f>
        <v>Vencido do jogo 27</v>
      </c>
      <c r="J58" s="369"/>
      <c r="K58" s="370"/>
      <c r="L58" s="69"/>
      <c r="M58" s="69"/>
      <c r="N58" s="70"/>
      <c r="O58" s="38" t="str">
        <f>IF(COUNT(L58:N58)&lt;1,"",IF(SUM(IF(L58&gt;L62,1,0),IF(M58&gt;M62,1,0),IF(N58&gt;N62,1,0))&gt;2,"??",SUM(IF(L58&gt;L62,1,0),IF(M58&gt;M62,1,0),IF(N58&gt;N62,1,0))))</f>
        <v/>
      </c>
      <c r="P58" s="371" t="str">
        <f>IF(P60="Disputa 5º/6º Jogador2","Disputa 7º/8º  Jogador2",IF(P60=I58,I62,I58))</f>
        <v>Disputa 7º/8º  Jogador2</v>
      </c>
      <c r="Q58" s="372"/>
      <c r="R58" s="373"/>
      <c r="S58" s="69"/>
      <c r="T58" s="69"/>
      <c r="U58" s="69"/>
      <c r="V58" s="49" t="str">
        <f>IF(COUNT(S58:U58)&lt;1,"",IF(SUM(IF(S54&lt;S58,1,0),IF(T54&lt;T58,1,0),IF(U54&lt;U58,1,0))&gt;2,"??",SUM(IF(S54&lt;S58,1,0),IF(T54&lt;T58,1,0),IF(U54&lt;U58,1,0))))</f>
        <v/>
      </c>
      <c r="W58" s="50"/>
      <c r="X58" s="48"/>
      <c r="Y58" s="53"/>
      <c r="Z58" s="53"/>
      <c r="AA58" s="53"/>
      <c r="AB58" s="57"/>
      <c r="AC58" s="57"/>
      <c r="AD58" s="58"/>
      <c r="AE58" s="113"/>
      <c r="AN58" s="176"/>
      <c r="AO58" s="285"/>
      <c r="AP58" s="285"/>
      <c r="AQ58" s="172"/>
      <c r="AR58" s="173"/>
      <c r="AS58" s="174"/>
      <c r="AT58" s="171"/>
      <c r="AU58" s="171"/>
      <c r="AV58" s="174"/>
      <c r="AW58" s="171"/>
      <c r="AX58" s="171"/>
      <c r="AY58" s="174"/>
      <c r="AZ58" s="108"/>
      <c r="BA58" s="108"/>
    </row>
    <row r="59" spans="2:53">
      <c r="H59" s="126"/>
      <c r="I59" s="55"/>
      <c r="J59" s="40"/>
      <c r="K59" s="59"/>
      <c r="L59" s="55"/>
      <c r="M59" s="41"/>
      <c r="N59" s="41"/>
      <c r="O59" s="42"/>
      <c r="P59" s="36"/>
      <c r="Q59" s="51"/>
      <c r="R59" s="46"/>
      <c r="S59" s="55"/>
      <c r="T59" s="42"/>
      <c r="U59" s="42"/>
      <c r="V59" s="67"/>
      <c r="W59" s="50"/>
      <c r="X59" s="48"/>
      <c r="Y59" s="53"/>
      <c r="Z59" s="53"/>
      <c r="AA59" s="53"/>
      <c r="AB59" s="53"/>
      <c r="AC59" s="53"/>
      <c r="AD59" s="54"/>
      <c r="AE59" s="113"/>
    </row>
    <row r="60" spans="2:53" ht="15">
      <c r="H60" s="126"/>
      <c r="I60" s="55"/>
      <c r="J60" s="40"/>
      <c r="K60" s="59"/>
      <c r="L60" s="55"/>
      <c r="M60" s="42"/>
      <c r="N60" s="42"/>
      <c r="O60" s="64">
        <v>34</v>
      </c>
      <c r="P60" s="374" t="str">
        <f>IF(OR(O58="",O62="")=TRUE,"Disputa 5º/6º Jogador2",IF(O58&gt;O62,I58,I62))</f>
        <v>Disputa 5º/6º Jogador2</v>
      </c>
      <c r="Q60" s="369"/>
      <c r="R60" s="369"/>
      <c r="S60" s="370"/>
      <c r="T60" s="69"/>
      <c r="U60" s="69"/>
      <c r="V60" s="69"/>
      <c r="W60" s="45" t="str">
        <f>IF(COUNT(T60:V60)&lt;1,"",IF(SUM(IF(T52&lt;T60,1,0),IF(U52&lt;U60,1,0),IF(V52&lt;V60,1,0))&gt;2,"??",SUM(IF(T52&lt;T60,1,0),IF(U52&lt;U60,1,0),IF(V52&lt;V60,1,0))))</f>
        <v/>
      </c>
      <c r="X60" s="48"/>
      <c r="Y60" s="53"/>
      <c r="Z60" s="53"/>
      <c r="AA60" s="53"/>
      <c r="AB60" s="53"/>
      <c r="AC60" s="53"/>
      <c r="AD60" s="54"/>
      <c r="AE60" s="113"/>
    </row>
    <row r="61" spans="2:53" ht="15" customHeight="1">
      <c r="H61" s="126"/>
      <c r="I61" s="55"/>
      <c r="J61" s="40"/>
      <c r="K61" s="59"/>
      <c r="L61" s="55"/>
      <c r="M61" s="42"/>
      <c r="N61" s="42"/>
      <c r="O61" s="42"/>
      <c r="P61" s="36"/>
      <c r="Q61" s="40"/>
      <c r="R61" s="55"/>
      <c r="S61" s="46"/>
      <c r="T61" s="55"/>
      <c r="U61" s="55"/>
      <c r="V61" s="60"/>
      <c r="W61" s="53"/>
      <c r="X61" s="48"/>
      <c r="Y61" s="53"/>
      <c r="Z61" s="53"/>
      <c r="AA61" s="53"/>
      <c r="AB61" s="53"/>
      <c r="AC61" s="53"/>
      <c r="AD61" s="54"/>
      <c r="AE61" s="113"/>
    </row>
    <row r="62" spans="2:53" ht="15">
      <c r="H62" s="126"/>
      <c r="I62" s="369" t="str">
        <f>IF(I43="2ª Meia Final-Jogador2",CONCATENATE("Vencido do jogo ",H43),IF(I43=C42,C44,C42))</f>
        <v>Vencido do jogo 28</v>
      </c>
      <c r="J62" s="369"/>
      <c r="K62" s="370"/>
      <c r="L62" s="69"/>
      <c r="M62" s="69"/>
      <c r="N62" s="70"/>
      <c r="O62" s="35" t="str">
        <f>IF(COUNT(L62:N62)&lt;1,"",IF(SUM(IF(L58&lt;L62,1,0),IF(M58&lt;M62,1,0),IF(N58&lt;N62,1,0))&gt;2,"??",SUM(IF(L58&lt;L62,1,0),IF(M58&lt;M62,1,0),IF(N58&lt;N62,1,0))))</f>
        <v/>
      </c>
      <c r="P62" s="36"/>
      <c r="Q62" s="40"/>
      <c r="R62" s="55"/>
      <c r="S62" s="55"/>
      <c r="T62" s="55"/>
      <c r="U62" s="55"/>
      <c r="V62" s="55"/>
      <c r="W62" s="54"/>
      <c r="X62" s="68"/>
      <c r="Y62" s="54"/>
      <c r="Z62" s="54"/>
      <c r="AA62" s="54"/>
      <c r="AB62" s="54"/>
      <c r="AC62" s="54"/>
      <c r="AD62" s="54"/>
      <c r="AE62" s="113"/>
    </row>
    <row r="63" spans="2:53">
      <c r="H63" s="128"/>
      <c r="I63" s="168"/>
      <c r="J63" s="169"/>
      <c r="K63" s="168"/>
      <c r="L63" s="170"/>
      <c r="M63" s="168"/>
      <c r="N63" s="168"/>
      <c r="O63" s="168"/>
      <c r="P63" s="168"/>
      <c r="Q63" s="169"/>
      <c r="R63" s="168"/>
      <c r="S63" s="168"/>
      <c r="T63" s="168"/>
      <c r="U63" s="168"/>
      <c r="V63" s="168"/>
      <c r="W63" s="122"/>
      <c r="X63" s="123"/>
      <c r="Y63" s="122"/>
      <c r="Z63" s="122"/>
      <c r="AA63" s="122"/>
      <c r="AB63" s="122"/>
      <c r="AC63" s="122"/>
      <c r="AD63" s="122"/>
      <c r="AE63" s="124"/>
    </row>
    <row r="64" spans="2:53" ht="6" customHeight="1">
      <c r="H64" s="54"/>
    </row>
    <row r="65" spans="4:53" ht="13.5" thickBot="1">
      <c r="D65" s="54"/>
      <c r="H65" s="125"/>
      <c r="I65" s="61"/>
      <c r="J65" s="167"/>
      <c r="K65" s="61"/>
      <c r="L65" s="61"/>
      <c r="M65" s="61"/>
      <c r="N65" s="61"/>
      <c r="O65" s="61"/>
      <c r="P65" s="61"/>
      <c r="Q65" s="167"/>
      <c r="R65" s="61"/>
      <c r="S65" s="61"/>
      <c r="T65" s="61"/>
      <c r="U65" s="61"/>
      <c r="V65" s="61"/>
      <c r="W65" s="61"/>
      <c r="X65" s="167"/>
      <c r="Y65" s="61"/>
      <c r="Z65" s="61"/>
      <c r="AA65" s="61"/>
      <c r="AB65" s="61"/>
      <c r="AC65" s="61"/>
      <c r="AD65" s="61"/>
      <c r="AE65" s="3"/>
      <c r="AN65" s="176"/>
      <c r="AO65" s="285"/>
      <c r="AP65" s="379"/>
      <c r="AQ65" s="379"/>
      <c r="AR65" s="379"/>
      <c r="AS65" s="174"/>
      <c r="AT65" s="171"/>
      <c r="AU65" s="171"/>
      <c r="AV65" s="174"/>
      <c r="AW65" s="171"/>
      <c r="AX65" s="171"/>
      <c r="AY65" s="174"/>
    </row>
    <row r="66" spans="4:53">
      <c r="D66" s="54"/>
      <c r="H66" s="126"/>
      <c r="I66" s="388" t="s">
        <v>55</v>
      </c>
      <c r="J66" s="388"/>
      <c r="K66" s="388"/>
      <c r="L66" s="388"/>
      <c r="M66" s="388"/>
      <c r="N66" s="388"/>
      <c r="O66" s="388"/>
      <c r="P66" s="388"/>
      <c r="Q66" s="388"/>
      <c r="R66" s="388"/>
      <c r="S66" s="388"/>
      <c r="T66" s="388"/>
      <c r="U66" s="388"/>
      <c r="V66" s="388"/>
      <c r="W66" s="388"/>
      <c r="X66" s="68"/>
      <c r="Y66" s="389" t="s">
        <v>0</v>
      </c>
      <c r="Z66" s="390"/>
      <c r="AA66" s="390"/>
      <c r="AB66" s="390"/>
      <c r="AC66" s="390"/>
      <c r="AD66" s="391"/>
      <c r="AE66" s="113"/>
      <c r="AN66" s="176"/>
      <c r="AO66" s="285"/>
      <c r="AP66" s="379"/>
      <c r="AQ66" s="379"/>
      <c r="AR66" s="379"/>
      <c r="AS66" s="174"/>
      <c r="AT66" s="171"/>
      <c r="AU66" s="171"/>
      <c r="AV66" s="174"/>
      <c r="AW66" s="171"/>
      <c r="AX66" s="171"/>
      <c r="AY66" s="174"/>
    </row>
    <row r="67" spans="4:53" ht="13.5" thickBot="1">
      <c r="D67" s="54"/>
      <c r="H67" s="126"/>
      <c r="I67" s="388"/>
      <c r="J67" s="388"/>
      <c r="K67" s="388"/>
      <c r="L67" s="388"/>
      <c r="M67" s="388"/>
      <c r="N67" s="388"/>
      <c r="O67" s="388"/>
      <c r="P67" s="388"/>
      <c r="Q67" s="388"/>
      <c r="R67" s="388"/>
      <c r="S67" s="388"/>
      <c r="T67" s="388"/>
      <c r="U67" s="388"/>
      <c r="V67" s="388"/>
      <c r="W67" s="388"/>
      <c r="X67" s="68"/>
      <c r="Y67" s="392"/>
      <c r="Z67" s="393"/>
      <c r="AA67" s="393"/>
      <c r="AB67" s="393"/>
      <c r="AC67" s="393"/>
      <c r="AD67" s="394"/>
      <c r="AE67" s="113"/>
      <c r="AN67" s="176"/>
      <c r="AO67" s="285"/>
      <c r="AP67" s="379"/>
      <c r="AQ67" s="379"/>
      <c r="AR67" s="379"/>
      <c r="AS67" s="174"/>
      <c r="AT67" s="171"/>
      <c r="AU67" s="171"/>
      <c r="AV67" s="174"/>
      <c r="AW67" s="171"/>
      <c r="AX67" s="171"/>
      <c r="AY67" s="174"/>
    </row>
    <row r="68" spans="4:53" ht="15.75">
      <c r="H68" s="126"/>
      <c r="I68" s="369" t="str">
        <f>IF(D14="","3º  do Grupo A",D14)</f>
        <v>3º  do Grupo A</v>
      </c>
      <c r="J68" s="369"/>
      <c r="K68" s="370"/>
      <c r="L68" s="69"/>
      <c r="M68" s="69"/>
      <c r="N68" s="70"/>
      <c r="O68" s="38" t="str">
        <f>IF(COUNT(L68:N68)&lt;1,"",IF(SUM(IF(L68&gt;L72,1,0),IF(M68&gt;M72,1,0),IF(N68&gt;N72,1,0))&gt;2,"??",SUM(IF(L68&gt;L72,1,0),IF(M68&gt;M72,1,0),IF(N68&gt;N72,1,0))))</f>
        <v/>
      </c>
      <c r="P68" s="55"/>
      <c r="Q68" s="40"/>
      <c r="R68" s="55"/>
      <c r="S68" s="55"/>
      <c r="T68" s="55"/>
      <c r="U68" s="55"/>
      <c r="V68" s="55"/>
      <c r="W68" s="54"/>
      <c r="X68" s="68"/>
      <c r="Y68" s="395" t="str">
        <f>IF(X74="9º Classificado","",X74)</f>
        <v/>
      </c>
      <c r="Z68" s="396"/>
      <c r="AA68" s="396"/>
      <c r="AB68" s="396"/>
      <c r="AC68" s="396"/>
      <c r="AD68" s="39" t="s">
        <v>56</v>
      </c>
      <c r="AE68" s="113"/>
      <c r="AN68" s="176"/>
      <c r="AO68" s="285"/>
      <c r="AP68" s="379"/>
      <c r="AQ68" s="379"/>
      <c r="AR68" s="379"/>
      <c r="AS68" s="174"/>
      <c r="AT68" s="171"/>
      <c r="AU68" s="171"/>
      <c r="AV68" s="174"/>
      <c r="AW68" s="171"/>
      <c r="AX68" s="171"/>
      <c r="AY68" s="174"/>
    </row>
    <row r="69" spans="4:53" ht="15" customHeight="1">
      <c r="H69" s="126"/>
      <c r="I69" s="55"/>
      <c r="J69" s="40"/>
      <c r="K69" s="59"/>
      <c r="L69" s="55"/>
      <c r="M69" s="41"/>
      <c r="N69" s="41"/>
      <c r="O69" s="42"/>
      <c r="P69" s="36"/>
      <c r="Q69" s="40"/>
      <c r="R69" s="55"/>
      <c r="S69" s="55"/>
      <c r="T69" s="55"/>
      <c r="U69" s="55"/>
      <c r="V69" s="60"/>
      <c r="W69" s="53"/>
      <c r="X69" s="48"/>
      <c r="Y69" s="384" t="str">
        <f>IF(Y68="","",IF(Y68=P70,P78,P70))</f>
        <v/>
      </c>
      <c r="Z69" s="385" t="e">
        <f>IF(#REF!="","",IF(#REF!=W69,"","(2º) "))</f>
        <v>#REF!</v>
      </c>
      <c r="AA69" s="385" t="e">
        <f>IF(#REF!="","",IF(#REF!=X69,"","(2º) "))</f>
        <v>#REF!</v>
      </c>
      <c r="AB69" s="385" t="e">
        <f>IF(#REF!="","",IF(#REF!=Y69,"","(2º) "))</f>
        <v>#REF!</v>
      </c>
      <c r="AC69" s="385" t="e">
        <f>IF(#REF!="","",IF(#REF!=Z69,"","(2º) "))</f>
        <v>#REF!</v>
      </c>
      <c r="AD69" s="43" t="s">
        <v>57</v>
      </c>
      <c r="AE69" s="113"/>
      <c r="AN69" s="176"/>
      <c r="AO69" s="285"/>
      <c r="AP69" s="379"/>
      <c r="AQ69" s="379"/>
      <c r="AR69" s="379"/>
      <c r="AS69" s="174"/>
      <c r="AT69" s="171"/>
      <c r="AU69" s="171"/>
      <c r="AV69" s="174"/>
      <c r="AW69" s="171"/>
      <c r="AX69" s="171"/>
      <c r="AY69" s="174"/>
    </row>
    <row r="70" spans="4:53" ht="15" customHeight="1">
      <c r="H70" s="126"/>
      <c r="I70" s="55"/>
      <c r="J70" s="40"/>
      <c r="K70" s="59"/>
      <c r="L70" s="55"/>
      <c r="M70" s="42"/>
      <c r="N70" s="42"/>
      <c r="O70" s="64">
        <v>37</v>
      </c>
      <c r="P70" s="374" t="str">
        <f>IF(OR(O68="",O72="")=TRUE,"Disputa 9º/10º Jogador1",IF(O68&gt;O72,I68,I72))</f>
        <v>Disputa 9º/10º Jogador1</v>
      </c>
      <c r="Q70" s="369"/>
      <c r="R70" s="369"/>
      <c r="S70" s="370"/>
      <c r="T70" s="69"/>
      <c r="U70" s="69"/>
      <c r="V70" s="69"/>
      <c r="W70" s="45" t="str">
        <f>IF(COUNT(T70:V70)&lt;1,"",IF(SUM(IF(T70&gt;T78,1,0),IF(U70&gt;U78,1,0),IF(V70&gt;V78,1,0))&gt;2,"??",SUM(IF(T70&gt;T78,1,0),IF(U70&gt;U78,1,0),IF(V70&gt;V78,1,0))))</f>
        <v/>
      </c>
      <c r="X70" s="48"/>
      <c r="Y70" s="384" t="str">
        <f>IF(P74="11º Classificado","",P74)</f>
        <v/>
      </c>
      <c r="Z70" s="385"/>
      <c r="AA70" s="385"/>
      <c r="AB70" s="385"/>
      <c r="AC70" s="385"/>
      <c r="AD70" s="43" t="s">
        <v>58</v>
      </c>
      <c r="AE70" s="113"/>
      <c r="AN70" s="176"/>
      <c r="AO70" s="285"/>
      <c r="AP70" s="379"/>
      <c r="AQ70" s="379"/>
      <c r="AR70" s="379"/>
      <c r="AS70" s="174"/>
      <c r="AT70" s="171"/>
      <c r="AU70" s="171"/>
      <c r="AV70" s="174"/>
      <c r="AW70" s="171"/>
      <c r="AX70" s="171"/>
      <c r="AY70" s="174"/>
    </row>
    <row r="71" spans="4:53" ht="15.75" thickBot="1">
      <c r="H71" s="126"/>
      <c r="I71" s="55"/>
      <c r="J71" s="40"/>
      <c r="K71" s="59"/>
      <c r="L71" s="55"/>
      <c r="M71" s="42"/>
      <c r="N71" s="42"/>
      <c r="O71" s="42"/>
      <c r="P71" s="36"/>
      <c r="Q71" s="40"/>
      <c r="R71" s="55"/>
      <c r="S71" s="46"/>
      <c r="T71" s="42"/>
      <c r="U71" s="42"/>
      <c r="V71" s="67"/>
      <c r="W71" s="47"/>
      <c r="X71" s="48"/>
      <c r="Y71" s="386" t="str">
        <f>IF(Y70="","",IF(Y70=P72,P76,P72))</f>
        <v/>
      </c>
      <c r="Z71" s="387"/>
      <c r="AA71" s="387"/>
      <c r="AB71" s="387"/>
      <c r="AC71" s="387"/>
      <c r="AD71" s="164" t="s">
        <v>59</v>
      </c>
      <c r="AE71" s="113"/>
      <c r="AN71" s="176"/>
      <c r="AO71" s="285"/>
      <c r="AP71" s="379"/>
      <c r="AQ71" s="379"/>
      <c r="AR71" s="379"/>
      <c r="AS71" s="174"/>
      <c r="AT71" s="171"/>
      <c r="AU71" s="171"/>
      <c r="AV71" s="174"/>
      <c r="AW71" s="171"/>
      <c r="AX71" s="171"/>
      <c r="AY71" s="174"/>
    </row>
    <row r="72" spans="4:53" ht="15">
      <c r="H72" s="126"/>
      <c r="I72" s="369" t="str">
        <f>IF(K14="","3º  do Grupo B",K14)</f>
        <v>3º  do Grupo B</v>
      </c>
      <c r="J72" s="369"/>
      <c r="K72" s="370"/>
      <c r="L72" s="69"/>
      <c r="M72" s="69"/>
      <c r="N72" s="70"/>
      <c r="O72" s="35" t="str">
        <f>IF(COUNT(L72:N72)&lt;1,"",IF(SUM(IF(L68&lt;L72,1,0),IF(M68&lt;M72,1,0),IF(N68&lt;N72,1,0))&gt;2,"??",SUM(IF(L68&lt;L72,1,0),IF(M68&lt;M72,1,0),IF(N68&lt;N72,1,0))))</f>
        <v/>
      </c>
      <c r="P72" s="376" t="str">
        <f>IF(P70="Disputa 9º/10º Jogador1","Disputa 11º/12º  Jogador1",IF(P70=I68,I72,I68))</f>
        <v>Disputa 11º/12º  Jogador1</v>
      </c>
      <c r="Q72" s="377"/>
      <c r="R72" s="378"/>
      <c r="S72" s="69"/>
      <c r="T72" s="69"/>
      <c r="U72" s="69"/>
      <c r="V72" s="49" t="str">
        <f>IF(COUNT(S72:U72)&lt;1,"",IF(SUM(IF(S72&gt;S76,1,0),IF(T72&gt;T76,1,0),IF(U72&gt;U76,1,0))&gt;2,"??",SUM(IF(S72&gt;S76,1,0),IF(T72&gt;T76,1,0),IF(U72&gt;U76,1,0))))</f>
        <v/>
      </c>
      <c r="W72" s="50"/>
      <c r="X72" s="48"/>
      <c r="Y72" s="53"/>
      <c r="Z72" s="53"/>
      <c r="AA72" s="53"/>
      <c r="AB72" s="53"/>
      <c r="AC72" s="53"/>
      <c r="AD72" s="54"/>
      <c r="AE72" s="113"/>
      <c r="AN72" s="176"/>
      <c r="AO72" s="285"/>
      <c r="AP72" s="379"/>
      <c r="AQ72" s="379"/>
      <c r="AR72" s="379"/>
      <c r="AS72" s="174"/>
      <c r="AT72" s="171"/>
      <c r="AU72" s="171"/>
      <c r="AV72" s="174"/>
      <c r="AW72" s="171"/>
      <c r="AX72" s="171"/>
      <c r="AY72" s="174"/>
    </row>
    <row r="73" spans="4:53" ht="12.75" customHeight="1">
      <c r="H73" s="126"/>
      <c r="I73" s="55"/>
      <c r="J73" s="40"/>
      <c r="K73" s="59"/>
      <c r="L73" s="46"/>
      <c r="M73" s="42"/>
      <c r="N73" s="42"/>
      <c r="O73" s="42"/>
      <c r="P73" s="55"/>
      <c r="Q73" s="51"/>
      <c r="R73" s="46"/>
      <c r="S73" s="46"/>
      <c r="T73" s="41"/>
      <c r="U73" s="41"/>
      <c r="V73" s="52"/>
      <c r="W73" s="50"/>
      <c r="X73" s="48"/>
      <c r="Y73" s="53"/>
      <c r="Z73" s="53"/>
      <c r="AA73" s="53"/>
      <c r="AB73" s="53"/>
      <c r="AC73" s="53"/>
      <c r="AD73" s="54"/>
      <c r="AE73" s="113"/>
      <c r="AN73" s="176"/>
      <c r="AO73" s="285"/>
      <c r="AP73" s="285"/>
      <c r="AQ73" s="172"/>
      <c r="AR73" s="173"/>
      <c r="AS73" s="174"/>
      <c r="AT73" s="171"/>
      <c r="AU73" s="171"/>
      <c r="AV73" s="174"/>
      <c r="AW73" s="171"/>
      <c r="AX73" s="171"/>
      <c r="AY73" s="174"/>
      <c r="AZ73" s="108"/>
      <c r="BA73" s="108"/>
    </row>
    <row r="74" spans="4:53" ht="15.75">
      <c r="H74" s="126"/>
      <c r="I74" s="55"/>
      <c r="J74" s="40"/>
      <c r="K74" s="59"/>
      <c r="L74" s="55"/>
      <c r="M74" s="42"/>
      <c r="N74" s="42"/>
      <c r="O74" s="42"/>
      <c r="P74" s="380" t="str">
        <f>IF(OR(V72="",V76="")=TRUE,"11º Classificado",IF(V72&gt;V76,P72,P76))</f>
        <v>11º Classificado</v>
      </c>
      <c r="Q74" s="380"/>
      <c r="R74" s="380"/>
      <c r="S74" s="380"/>
      <c r="T74" s="380"/>
      <c r="U74" s="380"/>
      <c r="V74" s="65">
        <v>39</v>
      </c>
      <c r="W74" s="66">
        <v>40</v>
      </c>
      <c r="X74" s="381" t="str">
        <f>IF(OR(W70="",W78="")=TRUE,"9º Classificado",IF(W70&gt;W78,P70,P78))</f>
        <v>9º Classificado</v>
      </c>
      <c r="Y74" s="382"/>
      <c r="Z74" s="382"/>
      <c r="AA74" s="382"/>
      <c r="AB74" s="382"/>
      <c r="AC74" s="382"/>
      <c r="AD74" s="54"/>
      <c r="AE74" s="113"/>
      <c r="AN74" s="176"/>
      <c r="AO74" s="285"/>
      <c r="AP74" s="285"/>
      <c r="AQ74" s="172"/>
      <c r="AR74" s="173"/>
      <c r="AS74" s="174"/>
      <c r="AT74" s="171"/>
      <c r="AU74" s="171"/>
      <c r="AV74" s="174"/>
      <c r="AW74" s="171"/>
      <c r="AX74" s="171"/>
      <c r="AY74" s="174"/>
      <c r="AZ74" s="108"/>
      <c r="BA74" s="108"/>
    </row>
    <row r="75" spans="4:53" ht="15">
      <c r="H75" s="126"/>
      <c r="I75" s="55"/>
      <c r="J75" s="40"/>
      <c r="K75" s="59"/>
      <c r="L75" s="55"/>
      <c r="M75" s="42"/>
      <c r="N75" s="42"/>
      <c r="O75" s="42"/>
      <c r="P75" s="55"/>
      <c r="Q75" s="40"/>
      <c r="R75" s="55"/>
      <c r="S75" s="55"/>
      <c r="T75" s="42"/>
      <c r="U75" s="42"/>
      <c r="V75" s="56"/>
      <c r="W75" s="50"/>
      <c r="X75" s="48"/>
      <c r="Y75" s="383"/>
      <c r="Z75" s="383"/>
      <c r="AA75" s="383"/>
      <c r="AB75" s="383"/>
      <c r="AC75" s="383"/>
      <c r="AD75" s="54"/>
      <c r="AE75" s="113"/>
      <c r="AN75" s="176"/>
      <c r="AO75" s="285"/>
      <c r="AP75" s="285"/>
      <c r="AQ75" s="172"/>
      <c r="AR75" s="173"/>
      <c r="AS75" s="174"/>
      <c r="AT75" s="171"/>
      <c r="AU75" s="171"/>
      <c r="AV75" s="174"/>
      <c r="AW75" s="171"/>
      <c r="AX75" s="171"/>
      <c r="AY75" s="174"/>
      <c r="AZ75" s="108"/>
      <c r="BA75" s="108"/>
    </row>
    <row r="76" spans="4:53" ht="15">
      <c r="H76" s="126"/>
      <c r="I76" s="369" t="str">
        <f>IF(R14="","3º  do Grupo C",R14)</f>
        <v>3º  do Grupo C</v>
      </c>
      <c r="J76" s="369"/>
      <c r="K76" s="370"/>
      <c r="L76" s="69"/>
      <c r="M76" s="69"/>
      <c r="N76" s="70"/>
      <c r="O76" s="38" t="str">
        <f>IF(COUNT(L76:N76)&lt;1,"",IF(SUM(IF(L76&gt;L80,1,0),IF(M76&gt;M80,1,0),IF(N76&gt;N80,1,0))&gt;2,"??",SUM(IF(L76&gt;L80,1,0),IF(M76&gt;M80,1,0),IF(N76&gt;N80,1,0))))</f>
        <v/>
      </c>
      <c r="P76" s="371" t="str">
        <f>IF(P78="Disputa 9º/10º Jogador2","Disputa 11º/12º  Jogador2",IF(P78=I76,I80,I76))</f>
        <v>Disputa 11º/12º  Jogador2</v>
      </c>
      <c r="Q76" s="372"/>
      <c r="R76" s="373"/>
      <c r="S76" s="69"/>
      <c r="T76" s="69"/>
      <c r="U76" s="69"/>
      <c r="V76" s="49" t="str">
        <f>IF(COUNT(S76:U76)&lt;1,"",IF(SUM(IF(S72&lt;S76,1,0),IF(T72&lt;T76,1,0),IF(U72&lt;U76,1,0))&gt;2,"??",SUM(IF(S72&lt;S76,1,0),IF(T72&lt;T76,1,0),IF(U72&lt;U76,1,0))))</f>
        <v/>
      </c>
      <c r="W76" s="50"/>
      <c r="X76" s="48"/>
      <c r="Y76" s="53"/>
      <c r="Z76" s="53"/>
      <c r="AA76" s="53"/>
      <c r="AB76" s="57"/>
      <c r="AC76" s="57"/>
      <c r="AD76" s="58"/>
      <c r="AE76" s="113"/>
      <c r="AN76" s="176"/>
      <c r="AO76" s="285"/>
      <c r="AP76" s="285"/>
      <c r="AQ76" s="172"/>
      <c r="AR76" s="173"/>
      <c r="AS76" s="174"/>
      <c r="AT76" s="171"/>
      <c r="AU76" s="171"/>
      <c r="AV76" s="174"/>
      <c r="AW76" s="171"/>
      <c r="AX76" s="171"/>
      <c r="AY76" s="174"/>
      <c r="AZ76" s="108"/>
      <c r="BA76" s="108"/>
    </row>
    <row r="77" spans="4:53">
      <c r="H77" s="126"/>
      <c r="I77" s="55"/>
      <c r="J77" s="40"/>
      <c r="K77" s="59"/>
      <c r="L77" s="55"/>
      <c r="M77" s="41"/>
      <c r="N77" s="41"/>
      <c r="O77" s="42"/>
      <c r="P77" s="36"/>
      <c r="Q77" s="51"/>
      <c r="R77" s="46"/>
      <c r="S77" s="55"/>
      <c r="T77" s="42"/>
      <c r="U77" s="42"/>
      <c r="V77" s="67"/>
      <c r="W77" s="50"/>
      <c r="X77" s="48"/>
      <c r="Y77" s="53"/>
      <c r="Z77" s="53"/>
      <c r="AA77" s="53"/>
      <c r="AB77" s="53"/>
      <c r="AC77" s="53"/>
      <c r="AD77" s="54"/>
      <c r="AE77" s="113"/>
    </row>
    <row r="78" spans="4:53" ht="15">
      <c r="H78" s="126"/>
      <c r="I78" s="55"/>
      <c r="J78" s="40"/>
      <c r="K78" s="59"/>
      <c r="L78" s="55"/>
      <c r="M78" s="42"/>
      <c r="N78" s="42"/>
      <c r="O78" s="64">
        <v>38</v>
      </c>
      <c r="P78" s="374" t="str">
        <f>IF(OR(O76="",O80="")=TRUE,"Disputa 9º/10º Jogador2",IF(O76&gt;O80,I76,I80))</f>
        <v>Disputa 9º/10º Jogador2</v>
      </c>
      <c r="Q78" s="369"/>
      <c r="R78" s="369"/>
      <c r="S78" s="370"/>
      <c r="T78" s="69"/>
      <c r="U78" s="69"/>
      <c r="V78" s="69"/>
      <c r="W78" s="45" t="str">
        <f>IF(COUNT(T78:V78)&lt;1,"",IF(SUM(IF(T70&lt;T78,1,0),IF(U70&lt;U78,1,0),IF(V70&lt;V78,1,0))&gt;2,"??",SUM(IF(T70&lt;T78,1,0),IF(U70&lt;U78,1,0),IF(V70&lt;V78,1,0))))</f>
        <v/>
      </c>
      <c r="X78" s="48"/>
      <c r="Y78" s="53"/>
      <c r="Z78" s="53"/>
      <c r="AA78" s="53"/>
      <c r="AB78" s="53"/>
      <c r="AC78" s="53"/>
      <c r="AD78" s="54"/>
      <c r="AE78" s="113"/>
    </row>
    <row r="79" spans="4:53" ht="15" customHeight="1">
      <c r="H79" s="126"/>
      <c r="I79" s="55"/>
      <c r="J79" s="40"/>
      <c r="K79" s="59"/>
      <c r="L79" s="55"/>
      <c r="M79" s="42"/>
      <c r="N79" s="42"/>
      <c r="O79" s="42"/>
      <c r="P79" s="36"/>
      <c r="Q79" s="40"/>
      <c r="R79" s="55"/>
      <c r="S79" s="46"/>
      <c r="T79" s="55"/>
      <c r="U79" s="55"/>
      <c r="V79" s="60"/>
      <c r="W79" s="53"/>
      <c r="X79" s="48"/>
      <c r="Y79" s="53"/>
      <c r="Z79" s="53"/>
      <c r="AA79" s="53"/>
      <c r="AB79" s="53"/>
      <c r="AC79" s="53"/>
      <c r="AD79" s="54"/>
      <c r="AE79" s="113"/>
    </row>
    <row r="80" spans="4:53" ht="15">
      <c r="H80" s="126"/>
      <c r="I80" s="369" t="str">
        <f>IF(Y14="","3º  do Grupo D",Y14)</f>
        <v>3º  do Grupo D</v>
      </c>
      <c r="J80" s="369"/>
      <c r="K80" s="370"/>
      <c r="L80" s="69"/>
      <c r="M80" s="69"/>
      <c r="N80" s="70"/>
      <c r="O80" s="35" t="str">
        <f>IF(COUNT(L80:N80)&lt;1,"",IF(SUM(IF(L76&lt;L80,1,0),IF(M76&lt;M80,1,0),IF(N76&lt;N80,1,0))&gt;2,"??",SUM(IF(L76&lt;L80,1,0),IF(M76&lt;M80,1,0),IF(N76&lt;N80,1,0))))</f>
        <v/>
      </c>
      <c r="P80" s="36"/>
      <c r="Q80" s="40"/>
      <c r="R80" s="55"/>
      <c r="S80" s="55"/>
      <c r="T80" s="55"/>
      <c r="U80" s="55"/>
      <c r="V80" s="55"/>
      <c r="W80" s="54"/>
      <c r="X80" s="68"/>
      <c r="Y80" s="54"/>
      <c r="Z80" s="54"/>
      <c r="AA80" s="54"/>
      <c r="AB80" s="54"/>
      <c r="AC80" s="54"/>
      <c r="AD80" s="54"/>
      <c r="AE80" s="113"/>
    </row>
    <row r="81" spans="4:53">
      <c r="H81" s="128"/>
      <c r="I81" s="168"/>
      <c r="J81" s="169"/>
      <c r="K81" s="168"/>
      <c r="L81" s="170"/>
      <c r="M81" s="168"/>
      <c r="N81" s="168"/>
      <c r="O81" s="168"/>
      <c r="P81" s="168"/>
      <c r="Q81" s="169"/>
      <c r="R81" s="168"/>
      <c r="S81" s="168"/>
      <c r="T81" s="168"/>
      <c r="U81" s="168"/>
      <c r="V81" s="168"/>
      <c r="W81" s="122"/>
      <c r="X81" s="123"/>
      <c r="Y81" s="122"/>
      <c r="Z81" s="122"/>
      <c r="AA81" s="122"/>
      <c r="AB81" s="122"/>
      <c r="AC81" s="122"/>
      <c r="AD81" s="122"/>
      <c r="AE81" s="124"/>
    </row>
    <row r="82" spans="4:53" ht="6" customHeight="1">
      <c r="H82" s="54"/>
    </row>
    <row r="83" spans="4:53" ht="13.5" thickBot="1">
      <c r="D83" s="54"/>
      <c r="H83" s="125"/>
      <c r="I83" s="61"/>
      <c r="J83" s="167"/>
      <c r="K83" s="61"/>
      <c r="L83" s="61"/>
      <c r="M83" s="61"/>
      <c r="N83" s="61"/>
      <c r="O83" s="61"/>
      <c r="P83" s="61"/>
      <c r="Q83" s="167"/>
      <c r="R83" s="61"/>
      <c r="S83" s="61"/>
      <c r="T83" s="61"/>
      <c r="U83" s="61"/>
      <c r="V83" s="61"/>
      <c r="W83" s="61"/>
      <c r="X83" s="167"/>
      <c r="Y83" s="61"/>
      <c r="Z83" s="61"/>
      <c r="AA83" s="61"/>
      <c r="AB83" s="61"/>
      <c r="AC83" s="61"/>
      <c r="AD83" s="61"/>
      <c r="AE83" s="3"/>
      <c r="AN83" s="176"/>
      <c r="AO83" s="285"/>
      <c r="AP83" s="379"/>
      <c r="AQ83" s="379"/>
      <c r="AR83" s="379"/>
      <c r="AS83" s="174"/>
      <c r="AT83" s="171"/>
      <c r="AU83" s="171"/>
      <c r="AV83" s="174"/>
      <c r="AW83" s="171"/>
      <c r="AX83" s="171"/>
      <c r="AY83" s="174"/>
    </row>
    <row r="84" spans="4:53">
      <c r="D84" s="54"/>
      <c r="H84" s="126"/>
      <c r="I84" s="388" t="s">
        <v>241</v>
      </c>
      <c r="J84" s="388"/>
      <c r="K84" s="388"/>
      <c r="L84" s="388"/>
      <c r="M84" s="388"/>
      <c r="N84" s="388"/>
      <c r="O84" s="388"/>
      <c r="P84" s="388"/>
      <c r="Q84" s="388"/>
      <c r="R84" s="388"/>
      <c r="S84" s="388"/>
      <c r="T84" s="388"/>
      <c r="U84" s="388"/>
      <c r="V84" s="388"/>
      <c r="W84" s="388"/>
      <c r="X84" s="68"/>
      <c r="Y84" s="389" t="s">
        <v>0</v>
      </c>
      <c r="Z84" s="390"/>
      <c r="AA84" s="390"/>
      <c r="AB84" s="390"/>
      <c r="AC84" s="390"/>
      <c r="AD84" s="391"/>
      <c r="AE84" s="113"/>
      <c r="AN84" s="176"/>
      <c r="AO84" s="285"/>
      <c r="AP84" s="379"/>
      <c r="AQ84" s="379"/>
      <c r="AR84" s="379"/>
      <c r="AS84" s="174"/>
      <c r="AT84" s="171"/>
      <c r="AU84" s="171"/>
      <c r="AV84" s="174"/>
      <c r="AW84" s="171"/>
      <c r="AX84" s="171"/>
      <c r="AY84" s="174"/>
    </row>
    <row r="85" spans="4:53" ht="13.5" thickBot="1">
      <c r="D85" s="54"/>
      <c r="H85" s="126"/>
      <c r="I85" s="388"/>
      <c r="J85" s="388"/>
      <c r="K85" s="388"/>
      <c r="L85" s="388"/>
      <c r="M85" s="388"/>
      <c r="N85" s="388"/>
      <c r="O85" s="388"/>
      <c r="P85" s="388"/>
      <c r="Q85" s="388"/>
      <c r="R85" s="388"/>
      <c r="S85" s="388"/>
      <c r="T85" s="388"/>
      <c r="U85" s="388"/>
      <c r="V85" s="388"/>
      <c r="W85" s="388"/>
      <c r="X85" s="68"/>
      <c r="Y85" s="392"/>
      <c r="Z85" s="393"/>
      <c r="AA85" s="393"/>
      <c r="AB85" s="393"/>
      <c r="AC85" s="393"/>
      <c r="AD85" s="394"/>
      <c r="AE85" s="113"/>
      <c r="AN85" s="176"/>
      <c r="AO85" s="285"/>
      <c r="AP85" s="379"/>
      <c r="AQ85" s="379"/>
      <c r="AR85" s="379"/>
      <c r="AS85" s="174"/>
      <c r="AT85" s="171"/>
      <c r="AU85" s="171"/>
      <c r="AV85" s="174"/>
      <c r="AW85" s="171"/>
      <c r="AX85" s="171"/>
      <c r="AY85" s="174"/>
    </row>
    <row r="86" spans="4:53" ht="15.75">
      <c r="H86" s="126"/>
      <c r="I86" s="369" t="str">
        <f>IF(D15="","4º  do Grupo A",D15)</f>
        <v>4º  do Grupo A</v>
      </c>
      <c r="J86" s="369"/>
      <c r="K86" s="370"/>
      <c r="L86" s="69"/>
      <c r="M86" s="69"/>
      <c r="N86" s="70"/>
      <c r="O86" s="38" t="str">
        <f>IF(COUNT(L86:N86)&lt;1,"",IF(SUM(IF(L86&gt;L90,1,0),IF(M86&gt;M90,1,0),IF(N86&gt;N90,1,0))&gt;2,"??",SUM(IF(L86&gt;L90,1,0),IF(M86&gt;M90,1,0),IF(N86&gt;N90,1,0))))</f>
        <v/>
      </c>
      <c r="P86" s="55"/>
      <c r="Q86" s="40"/>
      <c r="R86" s="55"/>
      <c r="S86" s="55"/>
      <c r="T86" s="55"/>
      <c r="U86" s="55"/>
      <c r="V86" s="55"/>
      <c r="W86" s="54"/>
      <c r="X86" s="68"/>
      <c r="Y86" s="395" t="str">
        <f>IF(X92="13º Classificado","",X92)</f>
        <v/>
      </c>
      <c r="Z86" s="396"/>
      <c r="AA86" s="396"/>
      <c r="AB86" s="396"/>
      <c r="AC86" s="396"/>
      <c r="AD86" s="39" t="s">
        <v>242</v>
      </c>
      <c r="AE86" s="113"/>
      <c r="AN86" s="176"/>
      <c r="AO86" s="285"/>
      <c r="AP86" s="379"/>
      <c r="AQ86" s="379"/>
      <c r="AR86" s="379"/>
      <c r="AS86" s="174"/>
      <c r="AT86" s="171"/>
      <c r="AU86" s="171"/>
      <c r="AV86" s="174"/>
      <c r="AW86" s="171"/>
      <c r="AX86" s="171"/>
      <c r="AY86" s="174"/>
    </row>
    <row r="87" spans="4:53" ht="15" customHeight="1">
      <c r="H87" s="126"/>
      <c r="I87" s="55"/>
      <c r="J87" s="40"/>
      <c r="K87" s="59"/>
      <c r="L87" s="55"/>
      <c r="M87" s="41"/>
      <c r="N87" s="41"/>
      <c r="O87" s="42"/>
      <c r="P87" s="36"/>
      <c r="Q87" s="40"/>
      <c r="R87" s="55"/>
      <c r="S87" s="55"/>
      <c r="T87" s="55"/>
      <c r="U87" s="55"/>
      <c r="V87" s="60"/>
      <c r="W87" s="53"/>
      <c r="X87" s="48"/>
      <c r="Y87" s="384" t="str">
        <f>IF(Y86="","",IF(Y86=P88,P96,P88))</f>
        <v/>
      </c>
      <c r="Z87" s="385" t="e">
        <f>IF(#REF!="","",IF(#REF!=W87,"","(2º) "))</f>
        <v>#REF!</v>
      </c>
      <c r="AA87" s="385" t="e">
        <f>IF(#REF!="","",IF(#REF!=X87,"","(2º) "))</f>
        <v>#REF!</v>
      </c>
      <c r="AB87" s="385" t="e">
        <f>IF(#REF!="","",IF(#REF!=Y87,"","(2º) "))</f>
        <v>#REF!</v>
      </c>
      <c r="AC87" s="385" t="e">
        <f>IF(#REF!="","",IF(#REF!=Z87,"","(2º) "))</f>
        <v>#REF!</v>
      </c>
      <c r="AD87" s="43" t="s">
        <v>243</v>
      </c>
      <c r="AE87" s="113"/>
      <c r="AN87" s="176"/>
      <c r="AO87" s="285"/>
      <c r="AP87" s="379"/>
      <c r="AQ87" s="379"/>
      <c r="AR87" s="379"/>
      <c r="AS87" s="174"/>
      <c r="AT87" s="171"/>
      <c r="AU87" s="171"/>
      <c r="AV87" s="174"/>
      <c r="AW87" s="171"/>
      <c r="AX87" s="171"/>
      <c r="AY87" s="174"/>
    </row>
    <row r="88" spans="4:53" ht="15" customHeight="1">
      <c r="H88" s="126"/>
      <c r="I88" s="55"/>
      <c r="J88" s="40"/>
      <c r="K88" s="59"/>
      <c r="L88" s="55"/>
      <c r="M88" s="42"/>
      <c r="N88" s="42"/>
      <c r="O88" s="64">
        <v>41</v>
      </c>
      <c r="P88" s="374" t="str">
        <f>IF(OR(O86="",O90="")=TRUE,"Disputa 13º/14º Jogador1",IF(O86&gt;O90,I86,I90))</f>
        <v>Disputa 13º/14º Jogador1</v>
      </c>
      <c r="Q88" s="369"/>
      <c r="R88" s="369"/>
      <c r="S88" s="370"/>
      <c r="T88" s="69"/>
      <c r="U88" s="69"/>
      <c r="V88" s="69"/>
      <c r="W88" s="45" t="str">
        <f>IF(COUNT(T88:V88)&lt;1,"",IF(SUM(IF(T88&gt;T96,1,0),IF(U88&gt;U96,1,0),IF(V88&gt;V96,1,0))&gt;2,"??",SUM(IF(T88&gt;T96,1,0),IF(U88&gt;U96,1,0),IF(V88&gt;V96,1,0))))</f>
        <v/>
      </c>
      <c r="X88" s="48"/>
      <c r="Y88" s="384" t="str">
        <f>IF(P92="15º Classificado","",P92)</f>
        <v/>
      </c>
      <c r="Z88" s="385"/>
      <c r="AA88" s="385"/>
      <c r="AB88" s="385"/>
      <c r="AC88" s="385"/>
      <c r="AD88" s="43" t="s">
        <v>244</v>
      </c>
      <c r="AE88" s="113"/>
      <c r="AN88" s="176"/>
      <c r="AO88" s="285"/>
      <c r="AP88" s="379"/>
      <c r="AQ88" s="379"/>
      <c r="AR88" s="379"/>
      <c r="AS88" s="174"/>
      <c r="AT88" s="171"/>
      <c r="AU88" s="171"/>
      <c r="AV88" s="174"/>
      <c r="AW88" s="171"/>
      <c r="AX88" s="171"/>
      <c r="AY88" s="174"/>
    </row>
    <row r="89" spans="4:53" ht="15.75" thickBot="1">
      <c r="H89" s="126"/>
      <c r="I89" s="55"/>
      <c r="J89" s="40"/>
      <c r="K89" s="59"/>
      <c r="L89" s="55"/>
      <c r="M89" s="42"/>
      <c r="N89" s="42"/>
      <c r="O89" s="42"/>
      <c r="P89" s="36"/>
      <c r="Q89" s="40"/>
      <c r="R89" s="55"/>
      <c r="S89" s="46"/>
      <c r="T89" s="42"/>
      <c r="U89" s="42"/>
      <c r="V89" s="67"/>
      <c r="W89" s="47"/>
      <c r="X89" s="48"/>
      <c r="Y89" s="386" t="str">
        <f>IF(Y88="","",IF(Y88=P90,P94,P90))</f>
        <v/>
      </c>
      <c r="Z89" s="387"/>
      <c r="AA89" s="387"/>
      <c r="AB89" s="387"/>
      <c r="AC89" s="387"/>
      <c r="AD89" s="164" t="s">
        <v>245</v>
      </c>
      <c r="AE89" s="113"/>
      <c r="AN89" s="176"/>
      <c r="AO89" s="285"/>
      <c r="AP89" s="379"/>
      <c r="AQ89" s="379"/>
      <c r="AR89" s="379"/>
      <c r="AS89" s="174"/>
      <c r="AT89" s="171"/>
      <c r="AU89" s="171"/>
      <c r="AV89" s="174"/>
      <c r="AW89" s="171"/>
      <c r="AX89" s="171"/>
      <c r="AY89" s="174"/>
    </row>
    <row r="90" spans="4:53" ht="15">
      <c r="H90" s="126"/>
      <c r="I90" s="369" t="str">
        <f>IF(K15="","4º  do Grupo B",K15)</f>
        <v>4º  do Grupo B</v>
      </c>
      <c r="J90" s="369"/>
      <c r="K90" s="370"/>
      <c r="L90" s="69"/>
      <c r="M90" s="69"/>
      <c r="N90" s="70"/>
      <c r="O90" s="35" t="str">
        <f>IF(COUNT(L90:N90)&lt;1,"",IF(SUM(IF(L86&lt;L90,1,0),IF(M86&lt;M90,1,0),IF(N86&lt;N90,1,0))&gt;2,"??",SUM(IF(L86&lt;L90,1,0),IF(M86&lt;M90,1,0),IF(N86&lt;N90,1,0))))</f>
        <v/>
      </c>
      <c r="P90" s="376" t="str">
        <f>IF(P88="Disputa 13º/14º Jogador1","Disputa 15º/16º  Jogador1",IF(P88=I86,I90,I86))</f>
        <v>Disputa 15º/16º  Jogador1</v>
      </c>
      <c r="Q90" s="377"/>
      <c r="R90" s="378"/>
      <c r="S90" s="69"/>
      <c r="T90" s="69"/>
      <c r="U90" s="69"/>
      <c r="V90" s="49" t="str">
        <f>IF(COUNT(S90:U90)&lt;1,"",IF(SUM(IF(S90&gt;S94,1,0),IF(T90&gt;T94,1,0),IF(U90&gt;U94,1,0))&gt;2,"??",SUM(IF(S90&gt;S94,1,0),IF(T90&gt;T94,1,0),IF(U90&gt;U94,1,0))))</f>
        <v/>
      </c>
      <c r="W90" s="50"/>
      <c r="X90" s="48"/>
      <c r="Y90" s="53"/>
      <c r="Z90" s="53"/>
      <c r="AA90" s="53"/>
      <c r="AB90" s="53"/>
      <c r="AC90" s="53"/>
      <c r="AD90" s="54"/>
      <c r="AE90" s="113"/>
      <c r="AN90" s="176"/>
      <c r="AO90" s="285"/>
      <c r="AP90" s="379"/>
      <c r="AQ90" s="379"/>
      <c r="AR90" s="379"/>
      <c r="AS90" s="174"/>
      <c r="AT90" s="171"/>
      <c r="AU90" s="171"/>
      <c r="AV90" s="174"/>
      <c r="AW90" s="171"/>
      <c r="AX90" s="171"/>
      <c r="AY90" s="174"/>
    </row>
    <row r="91" spans="4:53" ht="12.75" customHeight="1">
      <c r="H91" s="126"/>
      <c r="I91" s="55"/>
      <c r="J91" s="40"/>
      <c r="K91" s="59"/>
      <c r="L91" s="46"/>
      <c r="M91" s="42"/>
      <c r="N91" s="42"/>
      <c r="O91" s="42"/>
      <c r="P91" s="55"/>
      <c r="Q91" s="51"/>
      <c r="R91" s="46"/>
      <c r="S91" s="46"/>
      <c r="T91" s="41"/>
      <c r="U91" s="41"/>
      <c r="V91" s="52"/>
      <c r="W91" s="50"/>
      <c r="X91" s="48"/>
      <c r="Y91" s="53"/>
      <c r="Z91" s="53"/>
      <c r="AA91" s="53"/>
      <c r="AB91" s="53"/>
      <c r="AC91" s="53"/>
      <c r="AD91" s="54"/>
      <c r="AE91" s="113"/>
      <c r="AN91" s="176"/>
      <c r="AO91" s="285"/>
      <c r="AP91" s="285"/>
      <c r="AQ91" s="172"/>
      <c r="AR91" s="173"/>
      <c r="AS91" s="174"/>
      <c r="AT91" s="171"/>
      <c r="AU91" s="171"/>
      <c r="AV91" s="174"/>
      <c r="AW91" s="171"/>
      <c r="AX91" s="171"/>
      <c r="AY91" s="174"/>
      <c r="AZ91" s="108"/>
      <c r="BA91" s="108"/>
    </row>
    <row r="92" spans="4:53" ht="15.75">
      <c r="H92" s="126"/>
      <c r="I92" s="55"/>
      <c r="J92" s="40"/>
      <c r="K92" s="59"/>
      <c r="L92" s="55"/>
      <c r="M92" s="42"/>
      <c r="N92" s="42"/>
      <c r="O92" s="42"/>
      <c r="P92" s="380" t="str">
        <f>IF(OR(V90="",V94="")=TRUE,"15º Classificado",IF(V90&gt;V94,P90,P94))</f>
        <v>15º Classificado</v>
      </c>
      <c r="Q92" s="380"/>
      <c r="R92" s="380"/>
      <c r="S92" s="380"/>
      <c r="T92" s="380"/>
      <c r="U92" s="380"/>
      <c r="V92" s="65">
        <v>43</v>
      </c>
      <c r="W92" s="66">
        <v>44</v>
      </c>
      <c r="X92" s="381" t="str">
        <f>IF(OR(W88="",W96="")=TRUE,"13º Classificado",IF(W88&gt;W96,P88,P96))</f>
        <v>13º Classificado</v>
      </c>
      <c r="Y92" s="382"/>
      <c r="Z92" s="382"/>
      <c r="AA92" s="382"/>
      <c r="AB92" s="382"/>
      <c r="AC92" s="382"/>
      <c r="AD92" s="54"/>
      <c r="AE92" s="113"/>
      <c r="AN92" s="176"/>
      <c r="AO92" s="285"/>
      <c r="AP92" s="285"/>
      <c r="AQ92" s="172"/>
      <c r="AR92" s="173"/>
      <c r="AS92" s="174"/>
      <c r="AT92" s="171"/>
      <c r="AU92" s="171"/>
      <c r="AV92" s="174"/>
      <c r="AW92" s="171"/>
      <c r="AX92" s="171"/>
      <c r="AY92" s="174"/>
      <c r="AZ92" s="108"/>
      <c r="BA92" s="108"/>
    </row>
    <row r="93" spans="4:53" ht="15">
      <c r="H93" s="126"/>
      <c r="I93" s="55"/>
      <c r="J93" s="40"/>
      <c r="K93" s="59"/>
      <c r="L93" s="55"/>
      <c r="M93" s="42"/>
      <c r="N93" s="42"/>
      <c r="O93" s="42"/>
      <c r="P93" s="55"/>
      <c r="Q93" s="40"/>
      <c r="R93" s="55"/>
      <c r="S93" s="55"/>
      <c r="T93" s="42"/>
      <c r="U93" s="42"/>
      <c r="V93" s="56"/>
      <c r="W93" s="50"/>
      <c r="X93" s="48"/>
      <c r="Y93" s="383"/>
      <c r="Z93" s="383"/>
      <c r="AA93" s="383"/>
      <c r="AB93" s="383"/>
      <c r="AC93" s="383"/>
      <c r="AD93" s="54"/>
      <c r="AE93" s="113"/>
      <c r="AN93" s="176"/>
      <c r="AO93" s="285"/>
      <c r="AP93" s="285"/>
      <c r="AQ93" s="172"/>
      <c r="AR93" s="173"/>
      <c r="AS93" s="174"/>
      <c r="AT93" s="171"/>
      <c r="AU93" s="171"/>
      <c r="AV93" s="174"/>
      <c r="AW93" s="171"/>
      <c r="AX93" s="171"/>
      <c r="AY93" s="174"/>
      <c r="AZ93" s="108"/>
      <c r="BA93" s="108"/>
    </row>
    <row r="94" spans="4:53" ht="15">
      <c r="H94" s="126"/>
      <c r="I94" s="369" t="str">
        <f>IF(R15="","4º  do Grupo C",R15)</f>
        <v>4º  do Grupo C</v>
      </c>
      <c r="J94" s="369"/>
      <c r="K94" s="370"/>
      <c r="L94" s="69"/>
      <c r="M94" s="69"/>
      <c r="N94" s="70"/>
      <c r="O94" s="38" t="str">
        <f>IF(COUNT(L94:N94)&lt;1,"",IF(SUM(IF(L94&gt;L98,1,0),IF(M94&gt;M98,1,0),IF(N94&gt;N98,1,0))&gt;2,"??",SUM(IF(L94&gt;L98,1,0),IF(M94&gt;M98,1,0),IF(N94&gt;N98,1,0))))</f>
        <v/>
      </c>
      <c r="P94" s="371" t="str">
        <f>IF(P96="Disputa 13º/14º Jogador2","Disputa 15º/16º  Jogador2",IF(P96=I94,I98,I94))</f>
        <v>Disputa 15º/16º  Jogador2</v>
      </c>
      <c r="Q94" s="372"/>
      <c r="R94" s="373"/>
      <c r="S94" s="69"/>
      <c r="T94" s="69"/>
      <c r="U94" s="69"/>
      <c r="V94" s="49" t="str">
        <f>IF(COUNT(S94:U94)&lt;1,"",IF(SUM(IF(S90&lt;S94,1,0),IF(T90&lt;T94,1,0),IF(U90&lt;U94,1,0))&gt;2,"??",SUM(IF(S90&lt;S94,1,0),IF(T90&lt;T94,1,0),IF(U90&lt;U94,1,0))))</f>
        <v/>
      </c>
      <c r="W94" s="50"/>
      <c r="X94" s="48"/>
      <c r="Y94" s="53"/>
      <c r="Z94" s="53"/>
      <c r="AA94" s="53"/>
      <c r="AB94" s="57"/>
      <c r="AC94" s="57"/>
      <c r="AD94" s="58"/>
      <c r="AE94" s="113"/>
      <c r="AN94" s="176"/>
      <c r="AO94" s="285"/>
      <c r="AP94" s="285"/>
      <c r="AQ94" s="172"/>
      <c r="AR94" s="173"/>
      <c r="AS94" s="174"/>
      <c r="AT94" s="171"/>
      <c r="AU94" s="171"/>
      <c r="AV94" s="174"/>
      <c r="AW94" s="171"/>
      <c r="AX94" s="171"/>
      <c r="AY94" s="174"/>
      <c r="AZ94" s="108"/>
      <c r="BA94" s="108"/>
    </row>
    <row r="95" spans="4:53">
      <c r="H95" s="126"/>
      <c r="I95" s="55"/>
      <c r="J95" s="40"/>
      <c r="K95" s="59"/>
      <c r="L95" s="55"/>
      <c r="M95" s="41"/>
      <c r="N95" s="41"/>
      <c r="O95" s="42"/>
      <c r="P95" s="36"/>
      <c r="Q95" s="51"/>
      <c r="R95" s="46"/>
      <c r="S95" s="55"/>
      <c r="T95" s="42"/>
      <c r="U95" s="42"/>
      <c r="V95" s="67"/>
      <c r="W95" s="50"/>
      <c r="X95" s="48"/>
      <c r="Y95" s="53"/>
      <c r="Z95" s="53"/>
      <c r="AA95" s="53"/>
      <c r="AB95" s="53"/>
      <c r="AC95" s="53"/>
      <c r="AD95" s="54"/>
      <c r="AE95" s="113"/>
    </row>
    <row r="96" spans="4:53" ht="15">
      <c r="H96" s="126"/>
      <c r="I96" s="55"/>
      <c r="J96" s="40"/>
      <c r="K96" s="59"/>
      <c r="L96" s="55"/>
      <c r="M96" s="42"/>
      <c r="N96" s="42"/>
      <c r="O96" s="64">
        <v>42</v>
      </c>
      <c r="P96" s="374" t="str">
        <f>IF(OR(O94="",O98="")=TRUE,"Disputa 13º/14º Jogador2",IF(O94&gt;O98,I94,I98))</f>
        <v>Disputa 13º/14º Jogador2</v>
      </c>
      <c r="Q96" s="369"/>
      <c r="R96" s="369"/>
      <c r="S96" s="370"/>
      <c r="T96" s="69"/>
      <c r="U96" s="69"/>
      <c r="V96" s="69"/>
      <c r="W96" s="45" t="str">
        <f>IF(COUNT(T96:V96)&lt;1,"",IF(SUM(IF(T88&lt;T96,1,0),IF(U88&lt;U96,1,0),IF(V88&lt;V96,1,0))&gt;2,"??",SUM(IF(T88&lt;T96,1,0),IF(U88&lt;U96,1,0),IF(V88&lt;V96,1,0))))</f>
        <v/>
      </c>
      <c r="X96" s="48"/>
      <c r="Y96" s="53"/>
      <c r="Z96" s="53"/>
      <c r="AA96" s="53"/>
      <c r="AB96" s="53"/>
      <c r="AC96" s="53"/>
      <c r="AD96" s="54"/>
      <c r="AE96" s="113"/>
    </row>
    <row r="97" spans="8:93" ht="15" customHeight="1">
      <c r="H97" s="126"/>
      <c r="I97" s="55"/>
      <c r="J97" s="40"/>
      <c r="K97" s="59"/>
      <c r="L97" s="55"/>
      <c r="M97" s="42"/>
      <c r="N97" s="42"/>
      <c r="O97" s="42"/>
      <c r="P97" s="36"/>
      <c r="Q97" s="40"/>
      <c r="R97" s="55"/>
      <c r="S97" s="46"/>
      <c r="T97" s="55"/>
      <c r="U97" s="55"/>
      <c r="V97" s="60"/>
      <c r="W97" s="53"/>
      <c r="X97" s="48"/>
      <c r="Y97" s="53"/>
      <c r="Z97" s="53"/>
      <c r="AA97" s="53"/>
      <c r="AB97" s="53"/>
      <c r="AC97" s="53"/>
      <c r="AD97" s="54"/>
      <c r="AE97" s="113"/>
    </row>
    <row r="98" spans="8:93" ht="15">
      <c r="H98" s="126"/>
      <c r="I98" s="369" t="str">
        <f>IF(Y15="","4º  do Grupo D",Y15)</f>
        <v>4º  do Grupo D</v>
      </c>
      <c r="J98" s="369"/>
      <c r="K98" s="370"/>
      <c r="L98" s="69"/>
      <c r="M98" s="69"/>
      <c r="N98" s="70"/>
      <c r="O98" s="35" t="str">
        <f>IF(COUNT(L98:N98)&lt;1,"",IF(SUM(IF(L94&lt;L98,1,0),IF(M94&lt;M98,1,0),IF(N94&lt;N98,1,0))&gt;2,"??",SUM(IF(L94&lt;L98,1,0),IF(M94&lt;M98,1,0),IF(N94&lt;N98,1,0))))</f>
        <v/>
      </c>
      <c r="P98" s="36"/>
      <c r="Q98" s="40"/>
      <c r="R98" s="55"/>
      <c r="S98" s="55"/>
      <c r="T98" s="55"/>
      <c r="U98" s="55"/>
      <c r="V98" s="55"/>
      <c r="W98" s="54"/>
      <c r="X98" s="68"/>
      <c r="Y98" s="54"/>
      <c r="Z98" s="54"/>
      <c r="AA98" s="54"/>
      <c r="AB98" s="54"/>
      <c r="AC98" s="54"/>
      <c r="AD98" s="54"/>
      <c r="AE98" s="113"/>
    </row>
    <row r="99" spans="8:93">
      <c r="H99" s="128"/>
      <c r="I99" s="168"/>
      <c r="J99" s="169"/>
      <c r="K99" s="168"/>
      <c r="L99" s="170"/>
      <c r="M99" s="168"/>
      <c r="N99" s="168"/>
      <c r="O99" s="168"/>
      <c r="P99" s="168"/>
      <c r="Q99" s="169"/>
      <c r="R99" s="168"/>
      <c r="S99" s="168"/>
      <c r="T99" s="168"/>
      <c r="U99" s="168"/>
      <c r="V99" s="168"/>
      <c r="W99" s="122"/>
      <c r="X99" s="123"/>
      <c r="Y99" s="122"/>
      <c r="Z99" s="122"/>
      <c r="AA99" s="122"/>
      <c r="AB99" s="122"/>
      <c r="AC99" s="122"/>
      <c r="AD99" s="122"/>
      <c r="AE99" s="124"/>
    </row>
    <row r="100" spans="8:93" ht="48.75" customHeight="1" thickBot="1">
      <c r="AZ100" s="375"/>
      <c r="BA100" s="375"/>
      <c r="BB100" s="375"/>
      <c r="BC100" s="375"/>
      <c r="BD100" s="375"/>
      <c r="BE100" s="375"/>
      <c r="BF100" s="375"/>
      <c r="BG100" s="375"/>
      <c r="BH100" s="375"/>
      <c r="BI100" s="375"/>
      <c r="BJ100" s="375"/>
      <c r="BK100" s="375"/>
      <c r="BL100" s="375"/>
      <c r="BM100" s="375"/>
      <c r="BN100" s="375"/>
      <c r="BO100" s="375"/>
      <c r="BP100" s="375"/>
      <c r="BQ100" s="375"/>
      <c r="BR100" s="375"/>
      <c r="BS100" s="375"/>
      <c r="BT100" s="375"/>
      <c r="BU100" s="375"/>
      <c r="BV100" s="375"/>
      <c r="BW100" s="375"/>
      <c r="BX100" s="375"/>
      <c r="BY100" s="375"/>
      <c r="BZ100" s="375"/>
      <c r="CA100" s="375"/>
      <c r="CB100" s="375"/>
      <c r="CC100" s="375"/>
      <c r="CD100" s="375"/>
      <c r="CE100" s="375"/>
      <c r="CF100" s="375"/>
      <c r="CG100" s="375"/>
    </row>
    <row r="101" spans="8:93" ht="38.25" customHeight="1" thickBot="1">
      <c r="AZ101" s="87"/>
      <c r="BA101" s="367" t="str">
        <f>IF(BB102="","",CONCATENATE(VLOOKUP(BB102,$CI$102:$CO$145,2,FALSE),"  -  ",VLOOKUP(BB102,$CI$102:$CO$145,3,FALSE),,"  -  ",VLOOKUP(BB102,$CI$102:$CO$145,4,FALSE),"  -  ",VLOOKUP(BB102,$CI$102:$CO$145,5,FALSE)))</f>
        <v>Iniciados  -  Singulares  -  Femininos  -  Grupo A</v>
      </c>
      <c r="BB101" s="367"/>
      <c r="BC101" s="367"/>
      <c r="BD101" s="367"/>
      <c r="BE101" s="367"/>
      <c r="BF101" s="367"/>
      <c r="BG101" s="367"/>
      <c r="BH101" s="367"/>
      <c r="BI101" s="367"/>
      <c r="BJ101" s="367"/>
      <c r="BK101" s="367"/>
      <c r="BL101" s="367"/>
      <c r="BM101" s="367"/>
      <c r="BN101" s="86"/>
      <c r="BO101" s="86"/>
      <c r="BP101" s="86"/>
      <c r="BQ101" s="86"/>
      <c r="BR101" s="86"/>
      <c r="BS101" s="86"/>
      <c r="BT101" s="86"/>
      <c r="BU101" s="86"/>
      <c r="BV101" s="86"/>
      <c r="BW101" s="86"/>
      <c r="BX101" s="86"/>
      <c r="BY101" s="86"/>
      <c r="BZ101" s="86"/>
      <c r="CA101" s="86"/>
      <c r="CB101" s="86"/>
      <c r="CC101" s="86"/>
      <c r="CD101" s="86"/>
      <c r="CE101" s="86"/>
      <c r="CF101" s="86"/>
      <c r="CG101" s="76"/>
      <c r="CI101" s="132" t="s">
        <v>26</v>
      </c>
      <c r="CJ101" s="132" t="s">
        <v>27</v>
      </c>
      <c r="CK101" s="132" t="s">
        <v>29</v>
      </c>
      <c r="CL101" s="132" t="s">
        <v>28</v>
      </c>
      <c r="CM101" s="132" t="s">
        <v>42</v>
      </c>
      <c r="CN101" s="132" t="s">
        <v>32</v>
      </c>
      <c r="CO101" s="132" t="s">
        <v>33</v>
      </c>
    </row>
    <row r="102" spans="8:93" ht="20.25" customHeight="1">
      <c r="AZ102" s="88"/>
      <c r="BA102" s="89" t="s">
        <v>25</v>
      </c>
      <c r="BB102" s="137">
        <f>IF($AG$27="","",$AG$27)</f>
        <v>1</v>
      </c>
      <c r="BC102" s="84"/>
      <c r="BD102" s="84"/>
      <c r="BE102" s="84"/>
      <c r="BF102" s="84"/>
      <c r="BG102" s="84"/>
      <c r="BH102" s="84"/>
      <c r="BI102" s="177" t="s">
        <v>51</v>
      </c>
      <c r="BJ102" s="84"/>
      <c r="BK102" s="84"/>
      <c r="BL102" s="294"/>
      <c r="BM102" s="295"/>
      <c r="BN102" s="90"/>
      <c r="BO102" s="90"/>
      <c r="BP102" s="90"/>
      <c r="BQ102" s="91"/>
      <c r="BR102" s="84"/>
      <c r="BS102" s="84"/>
      <c r="BT102" s="84"/>
      <c r="BU102" s="84"/>
      <c r="BV102" s="84"/>
      <c r="BW102" s="84"/>
      <c r="BX102" s="84"/>
      <c r="BY102" s="84"/>
      <c r="BZ102" s="84"/>
      <c r="CA102" s="84"/>
      <c r="CB102" s="84"/>
      <c r="CC102" s="84"/>
      <c r="CD102" s="84"/>
      <c r="CE102" s="84"/>
      <c r="CF102" s="84"/>
      <c r="CG102" s="92"/>
      <c r="CI102" s="133">
        <f>$C$16</f>
        <v>1</v>
      </c>
      <c r="CJ102" s="134" t="str">
        <f t="shared" ref="CJ102:CJ145" si="0">$H$2</f>
        <v>Iniciados</v>
      </c>
      <c r="CK102" s="134" t="str">
        <f t="shared" ref="CK102:CK145" si="1">$H$3</f>
        <v>Singulares</v>
      </c>
      <c r="CL102" s="134" t="str">
        <f t="shared" ref="CL102:CL145" si="2">$Q$3</f>
        <v>Femininos</v>
      </c>
      <c r="CM102" s="134" t="str">
        <f>$C$5</f>
        <v>Grupo A</v>
      </c>
      <c r="CN102" s="134" t="str">
        <f>$D$16</f>
        <v>Joana Pinto (AE Sertã)</v>
      </c>
      <c r="CO102" s="134" t="str">
        <f>$D$17</f>
        <v>A4</v>
      </c>
    </row>
    <row r="103" spans="8:93" ht="7.5" customHeight="1">
      <c r="AZ103" s="88"/>
      <c r="BA103" s="84"/>
      <c r="BB103" s="84"/>
      <c r="BC103" s="84"/>
      <c r="BD103" s="84"/>
      <c r="BE103" s="84"/>
      <c r="BF103" s="84"/>
      <c r="BG103" s="84"/>
      <c r="BH103" s="84"/>
      <c r="BI103" s="84"/>
      <c r="BJ103" s="84"/>
      <c r="BK103" s="84"/>
      <c r="BL103" s="296"/>
      <c r="BM103" s="297"/>
      <c r="BN103" s="84"/>
      <c r="BO103" s="84"/>
      <c r="BP103" s="84"/>
      <c r="BQ103" s="84"/>
      <c r="BR103" s="84"/>
      <c r="BS103" s="84"/>
      <c r="BT103" s="84"/>
      <c r="BU103" s="84"/>
      <c r="BV103" s="84"/>
      <c r="BW103" s="84"/>
      <c r="BX103" s="84"/>
      <c r="BY103" s="84"/>
      <c r="BZ103" s="84"/>
      <c r="CA103" s="84"/>
      <c r="CB103" s="84"/>
      <c r="CC103" s="84"/>
      <c r="CD103" s="84"/>
      <c r="CE103" s="84"/>
      <c r="CF103" s="84"/>
      <c r="CG103" s="92"/>
      <c r="CI103" s="135">
        <f>$C$18</f>
        <v>2</v>
      </c>
      <c r="CJ103" s="135" t="str">
        <f t="shared" si="0"/>
        <v>Iniciados</v>
      </c>
      <c r="CK103" s="135" t="str">
        <f t="shared" si="1"/>
        <v>Singulares</v>
      </c>
      <c r="CL103" s="135" t="str">
        <f t="shared" si="2"/>
        <v>Femininos</v>
      </c>
      <c r="CM103" s="135" t="str">
        <f>$C$5</f>
        <v>Grupo A</v>
      </c>
      <c r="CN103" s="135" t="str">
        <f>$D$18</f>
        <v>A2</v>
      </c>
      <c r="CO103" s="135" t="str">
        <f>$D$19</f>
        <v>A3</v>
      </c>
    </row>
    <row r="104" spans="8:93" ht="17.25" customHeight="1" thickBot="1">
      <c r="AZ104" s="88"/>
      <c r="BA104" s="368" t="s">
        <v>34</v>
      </c>
      <c r="BB104" s="368"/>
      <c r="BC104" s="93" t="s">
        <v>20</v>
      </c>
      <c r="BD104" s="93"/>
      <c r="BE104" s="93"/>
      <c r="BF104" s="93" t="s">
        <v>21</v>
      </c>
      <c r="BG104" s="93"/>
      <c r="BH104" s="93"/>
      <c r="BI104" s="93" t="s">
        <v>22</v>
      </c>
      <c r="BJ104" s="93"/>
      <c r="BK104" s="93"/>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92"/>
      <c r="CI104" s="135">
        <f>$J$16</f>
        <v>3</v>
      </c>
      <c r="CJ104" s="135" t="str">
        <f t="shared" si="0"/>
        <v>Iniciados</v>
      </c>
      <c r="CK104" s="135" t="str">
        <f t="shared" si="1"/>
        <v>Singulares</v>
      </c>
      <c r="CL104" s="135" t="str">
        <f t="shared" si="2"/>
        <v>Femininos</v>
      </c>
      <c r="CM104" s="135" t="str">
        <f>$J$5</f>
        <v>Grupo B</v>
      </c>
      <c r="CN104" s="135" t="str">
        <f>$K$16</f>
        <v>B1</v>
      </c>
      <c r="CO104" s="135" t="str">
        <f>$K$17</f>
        <v>B4</v>
      </c>
    </row>
    <row r="105" spans="8:93" ht="19.5" customHeight="1">
      <c r="AZ105" s="88"/>
      <c r="BA105" s="350" t="str">
        <f>IF(BB102="","",VLOOKUP(BB102,$CI$102:$CO$145,6,FALSE))</f>
        <v>Joana Pinto (AE Sertã)</v>
      </c>
      <c r="BB105" s="351"/>
      <c r="BC105" s="354"/>
      <c r="BD105" s="355"/>
      <c r="BE105" s="356"/>
      <c r="BF105" s="354"/>
      <c r="BG105" s="355"/>
      <c r="BH105" s="356"/>
      <c r="BI105" s="354"/>
      <c r="BJ105" s="355"/>
      <c r="BK105" s="356"/>
      <c r="BL105" s="72"/>
      <c r="BM105" s="72"/>
      <c r="BN105" s="360"/>
      <c r="BO105" s="360"/>
      <c r="BP105" s="360"/>
      <c r="BQ105" s="94"/>
      <c r="BR105" s="95"/>
      <c r="BS105" s="84"/>
      <c r="BT105" s="84"/>
      <c r="BU105" s="84"/>
      <c r="BV105" s="84"/>
      <c r="BW105" s="84"/>
      <c r="BX105" s="84"/>
      <c r="BY105" s="84"/>
      <c r="BZ105" s="84"/>
      <c r="CA105" s="84"/>
      <c r="CB105" s="84"/>
      <c r="CC105" s="84"/>
      <c r="CD105" s="84"/>
      <c r="CE105" s="84"/>
      <c r="CF105" s="84"/>
      <c r="CG105" s="92"/>
      <c r="CI105" s="135">
        <f>$J$18</f>
        <v>4</v>
      </c>
      <c r="CJ105" s="135" t="str">
        <f t="shared" si="0"/>
        <v>Iniciados</v>
      </c>
      <c r="CK105" s="135" t="str">
        <f t="shared" si="1"/>
        <v>Singulares</v>
      </c>
      <c r="CL105" s="135" t="str">
        <f t="shared" si="2"/>
        <v>Femininos</v>
      </c>
      <c r="CM105" s="135" t="str">
        <f>$J$5</f>
        <v>Grupo B</v>
      </c>
      <c r="CN105" s="135" t="str">
        <f>$K$18</f>
        <v>B2</v>
      </c>
      <c r="CO105" s="135" t="str">
        <f>$K$19</f>
        <v>B3</v>
      </c>
    </row>
    <row r="106" spans="8:93" ht="19.5" customHeight="1" thickBot="1">
      <c r="AZ106" s="88"/>
      <c r="BA106" s="352"/>
      <c r="BB106" s="353"/>
      <c r="BC106" s="357"/>
      <c r="BD106" s="358"/>
      <c r="BE106" s="359"/>
      <c r="BF106" s="357"/>
      <c r="BG106" s="358"/>
      <c r="BH106" s="359"/>
      <c r="BI106" s="357"/>
      <c r="BJ106" s="358"/>
      <c r="BK106" s="359"/>
      <c r="BL106" s="72"/>
      <c r="BM106" s="72"/>
      <c r="BN106" s="360"/>
      <c r="BO106" s="360"/>
      <c r="BP106" s="360"/>
      <c r="BQ106" s="94"/>
      <c r="BR106" s="95"/>
      <c r="BS106" s="84"/>
      <c r="BT106" s="84"/>
      <c r="BU106" s="84"/>
      <c r="BV106" s="84"/>
      <c r="BW106" s="84"/>
      <c r="BX106" s="84"/>
      <c r="BY106" s="84"/>
      <c r="BZ106" s="84"/>
      <c r="CA106" s="84"/>
      <c r="CB106" s="84"/>
      <c r="CC106" s="84"/>
      <c r="CD106" s="84"/>
      <c r="CE106" s="84"/>
      <c r="CF106" s="84"/>
      <c r="CG106" s="92"/>
      <c r="CI106" s="135">
        <f>$Q$16</f>
        <v>5</v>
      </c>
      <c r="CJ106" s="135" t="str">
        <f t="shared" si="0"/>
        <v>Iniciados</v>
      </c>
      <c r="CK106" s="135" t="str">
        <f t="shared" si="1"/>
        <v>Singulares</v>
      </c>
      <c r="CL106" s="135" t="str">
        <f t="shared" si="2"/>
        <v>Femininos</v>
      </c>
      <c r="CM106" s="135" t="str">
        <f>$Q$5</f>
        <v>Grupo C</v>
      </c>
      <c r="CN106" s="135" t="str">
        <f>$R$16</f>
        <v>C1</v>
      </c>
      <c r="CO106" s="135" t="str">
        <f>$R$17</f>
        <v>C4</v>
      </c>
    </row>
    <row r="107" spans="8:93" ht="19.5" customHeight="1">
      <c r="AZ107" s="88"/>
      <c r="BA107" s="350" t="str">
        <f>IF(BB102="","",VLOOKUP(BB102,$CI$102:$CO$145,7,FALSE))</f>
        <v>A4</v>
      </c>
      <c r="BB107" s="351"/>
      <c r="BC107" s="354"/>
      <c r="BD107" s="355"/>
      <c r="BE107" s="356"/>
      <c r="BF107" s="354"/>
      <c r="BG107" s="355"/>
      <c r="BH107" s="356"/>
      <c r="BI107" s="354"/>
      <c r="BJ107" s="355"/>
      <c r="BK107" s="356"/>
      <c r="BL107" s="72"/>
      <c r="BM107" s="72"/>
      <c r="BN107" s="360"/>
      <c r="BO107" s="360"/>
      <c r="BP107" s="360"/>
      <c r="BQ107" s="94"/>
      <c r="BR107" s="95"/>
      <c r="BS107" s="84"/>
      <c r="BT107" s="84"/>
      <c r="BU107" s="84"/>
      <c r="BV107" s="84"/>
      <c r="BW107" s="84"/>
      <c r="BX107" s="84"/>
      <c r="BY107" s="84"/>
      <c r="BZ107" s="84"/>
      <c r="CA107" s="84"/>
      <c r="CB107" s="84"/>
      <c r="CC107" s="84"/>
      <c r="CD107" s="84"/>
      <c r="CE107" s="84"/>
      <c r="CF107" s="84"/>
      <c r="CG107" s="92"/>
      <c r="CI107" s="135">
        <f>$Q$18</f>
        <v>6</v>
      </c>
      <c r="CJ107" s="135" t="str">
        <f t="shared" si="0"/>
        <v>Iniciados</v>
      </c>
      <c r="CK107" s="135" t="str">
        <f t="shared" si="1"/>
        <v>Singulares</v>
      </c>
      <c r="CL107" s="135" t="str">
        <f t="shared" si="2"/>
        <v>Femininos</v>
      </c>
      <c r="CM107" s="135" t="str">
        <f>$Q$5</f>
        <v>Grupo C</v>
      </c>
      <c r="CN107" s="135" t="str">
        <f>$R$18</f>
        <v>C2</v>
      </c>
      <c r="CO107" s="135" t="str">
        <f>$R$19</f>
        <v>C3</v>
      </c>
    </row>
    <row r="108" spans="8:93" ht="19.5" customHeight="1" thickBot="1">
      <c r="AZ108" s="88"/>
      <c r="BA108" s="352"/>
      <c r="BB108" s="353"/>
      <c r="BC108" s="357"/>
      <c r="BD108" s="358"/>
      <c r="BE108" s="359"/>
      <c r="BF108" s="357"/>
      <c r="BG108" s="358"/>
      <c r="BH108" s="359"/>
      <c r="BI108" s="357"/>
      <c r="BJ108" s="358"/>
      <c r="BK108" s="359"/>
      <c r="BL108" s="72"/>
      <c r="BM108" s="72"/>
      <c r="BN108" s="360"/>
      <c r="BO108" s="360"/>
      <c r="BP108" s="360"/>
      <c r="BQ108" s="96"/>
      <c r="BR108" s="95"/>
      <c r="BS108" s="84"/>
      <c r="BT108" s="84"/>
      <c r="BU108" s="84"/>
      <c r="BV108" s="84"/>
      <c r="BW108" s="84"/>
      <c r="BX108" s="84"/>
      <c r="BY108" s="84"/>
      <c r="BZ108" s="84"/>
      <c r="CA108" s="84"/>
      <c r="CB108" s="84"/>
      <c r="CC108" s="84"/>
      <c r="CD108" s="84"/>
      <c r="CE108" s="84"/>
      <c r="CF108" s="84"/>
      <c r="CG108" s="92"/>
      <c r="CI108" s="135">
        <f>$X$16</f>
        <v>7</v>
      </c>
      <c r="CJ108" s="135" t="str">
        <f t="shared" si="0"/>
        <v>Iniciados</v>
      </c>
      <c r="CK108" s="135" t="str">
        <f t="shared" si="1"/>
        <v>Singulares</v>
      </c>
      <c r="CL108" s="135" t="str">
        <f t="shared" si="2"/>
        <v>Femininos</v>
      </c>
      <c r="CM108" s="135" t="str">
        <f>$X$5</f>
        <v>Grupo D</v>
      </c>
      <c r="CN108" s="135" t="str">
        <f>$Y$16</f>
        <v>D1</v>
      </c>
      <c r="CO108" s="135" t="str">
        <f>$Y$17</f>
        <v>D4</v>
      </c>
    </row>
    <row r="109" spans="8:93" ht="22.5" customHeight="1" thickBot="1">
      <c r="AZ109" s="88"/>
      <c r="BA109" s="97" t="s">
        <v>23</v>
      </c>
      <c r="BB109" s="361"/>
      <c r="BC109" s="362"/>
      <c r="BD109" s="362"/>
      <c r="BE109" s="362"/>
      <c r="BF109" s="363"/>
      <c r="BG109" s="363"/>
      <c r="BH109" s="363"/>
      <c r="BI109" s="363"/>
      <c r="BJ109" s="363"/>
      <c r="BK109" s="363"/>
      <c r="BL109" s="364"/>
      <c r="BM109" s="365"/>
      <c r="BN109" s="365"/>
      <c r="BO109" s="365"/>
      <c r="BP109" s="365"/>
      <c r="BQ109" s="95"/>
      <c r="BR109" s="95"/>
      <c r="BS109" s="84"/>
      <c r="BT109" s="84"/>
      <c r="BU109" s="84"/>
      <c r="BV109" s="84"/>
      <c r="BW109" s="84"/>
      <c r="BX109" s="84"/>
      <c r="BY109" s="84"/>
      <c r="BZ109" s="84"/>
      <c r="CA109" s="84"/>
      <c r="CB109" s="84"/>
      <c r="CC109" s="84"/>
      <c r="CD109" s="84"/>
      <c r="CE109" s="84"/>
      <c r="CF109" s="84"/>
      <c r="CG109" s="92"/>
      <c r="CI109" s="135">
        <f>$X$18</f>
        <v>8</v>
      </c>
      <c r="CJ109" s="135" t="str">
        <f t="shared" si="0"/>
        <v>Iniciados</v>
      </c>
      <c r="CK109" s="135" t="str">
        <f t="shared" si="1"/>
        <v>Singulares</v>
      </c>
      <c r="CL109" s="135" t="str">
        <f t="shared" si="2"/>
        <v>Femininos</v>
      </c>
      <c r="CM109" s="135" t="str">
        <f>$X$5</f>
        <v>Grupo D</v>
      </c>
      <c r="CN109" s="135" t="str">
        <f>$Y$18</f>
        <v>D2</v>
      </c>
      <c r="CO109" s="135" t="str">
        <f>$Y$19</f>
        <v>D3</v>
      </c>
    </row>
    <row r="110" spans="8:93" ht="18.75" customHeight="1">
      <c r="AZ110" s="88"/>
      <c r="BA110" s="73" t="s">
        <v>34</v>
      </c>
      <c r="BB110" s="73"/>
      <c r="BC110" s="73"/>
      <c r="BD110" s="73"/>
      <c r="BE110" s="73"/>
      <c r="BF110" s="73"/>
      <c r="BG110" s="73"/>
      <c r="BH110" s="93"/>
      <c r="BI110" s="93"/>
      <c r="BJ110" s="93"/>
      <c r="BK110" s="93"/>
      <c r="BL110" s="93"/>
      <c r="BM110" s="93"/>
      <c r="BN110" s="93"/>
      <c r="BO110" s="93"/>
      <c r="BP110" s="93"/>
      <c r="BQ110" s="93"/>
      <c r="BR110" s="84"/>
      <c r="BS110" s="84"/>
      <c r="BT110" s="84"/>
      <c r="BU110" s="84"/>
      <c r="BV110" s="84"/>
      <c r="BW110" s="84"/>
      <c r="BX110" s="84"/>
      <c r="BY110" s="84"/>
      <c r="BZ110" s="84"/>
      <c r="CA110" s="84"/>
      <c r="CB110" s="84"/>
      <c r="CC110" s="84"/>
      <c r="CD110" s="84"/>
      <c r="CE110" s="84"/>
      <c r="CF110" s="84"/>
      <c r="CG110" s="92"/>
      <c r="CI110" s="135">
        <f>$C$20</f>
        <v>9</v>
      </c>
      <c r="CJ110" s="135" t="str">
        <f t="shared" si="0"/>
        <v>Iniciados</v>
      </c>
      <c r="CK110" s="135" t="str">
        <f t="shared" si="1"/>
        <v>Singulares</v>
      </c>
      <c r="CL110" s="135" t="str">
        <f t="shared" si="2"/>
        <v>Femininos</v>
      </c>
      <c r="CM110" s="135" t="str">
        <f>$C$5</f>
        <v>Grupo A</v>
      </c>
      <c r="CN110" s="135" t="str">
        <f>$D$20</f>
        <v>A4</v>
      </c>
      <c r="CO110" s="135" t="str">
        <f>$D$21</f>
        <v>A3</v>
      </c>
    </row>
    <row r="111" spans="8:93" ht="15" customHeight="1">
      <c r="AZ111" s="88"/>
      <c r="BA111" s="346" t="str">
        <f>IF($BA$105="","",$BA$105)</f>
        <v>Joana Pinto (AE Sertã)</v>
      </c>
      <c r="BB111" s="347"/>
      <c r="BC111" s="74"/>
      <c r="BD111" s="75"/>
      <c r="BE111" s="75"/>
      <c r="BF111" s="75"/>
      <c r="BG111" s="75"/>
      <c r="BH111" s="75"/>
      <c r="BI111" s="75"/>
      <c r="BJ111" s="75"/>
      <c r="BK111" s="75"/>
      <c r="BL111" s="76"/>
      <c r="BM111" s="178"/>
      <c r="BN111" s="180"/>
      <c r="BO111" s="77"/>
      <c r="BP111" s="77"/>
      <c r="BQ111" s="77"/>
      <c r="BR111" s="78"/>
      <c r="BS111" s="75"/>
      <c r="BT111" s="75"/>
      <c r="BU111" s="75"/>
      <c r="BV111" s="75"/>
      <c r="BW111" s="178"/>
      <c r="BX111" s="76"/>
      <c r="BY111" s="75"/>
      <c r="BZ111" s="75"/>
      <c r="CA111" s="75"/>
      <c r="CB111" s="75"/>
      <c r="CC111" s="75"/>
      <c r="CD111" s="75"/>
      <c r="CE111" s="75"/>
      <c r="CF111" s="75"/>
      <c r="CG111" s="92"/>
      <c r="CI111" s="135">
        <f>$C$22</f>
        <v>10</v>
      </c>
      <c r="CJ111" s="135" t="str">
        <f t="shared" si="0"/>
        <v>Iniciados</v>
      </c>
      <c r="CK111" s="135" t="str">
        <f t="shared" si="1"/>
        <v>Singulares</v>
      </c>
      <c r="CL111" s="135" t="str">
        <f t="shared" si="2"/>
        <v>Femininos</v>
      </c>
      <c r="CM111" s="135" t="str">
        <f>$C$5</f>
        <v>Grupo A</v>
      </c>
      <c r="CN111" s="135" t="str">
        <f>$D$22</f>
        <v>Joana Pinto (AE Sertã)</v>
      </c>
      <c r="CO111" s="135" t="str">
        <f>$D$23</f>
        <v>A2</v>
      </c>
    </row>
    <row r="112" spans="8:93" ht="15" customHeight="1">
      <c r="AZ112" s="88"/>
      <c r="BA112" s="348"/>
      <c r="BB112" s="349"/>
      <c r="BC112" s="79"/>
      <c r="BD112" s="80"/>
      <c r="BE112" s="80"/>
      <c r="BF112" s="80"/>
      <c r="BG112" s="80"/>
      <c r="BH112" s="80"/>
      <c r="BI112" s="80"/>
      <c r="BJ112" s="80"/>
      <c r="BK112" s="80"/>
      <c r="BL112" s="81"/>
      <c r="BM112" s="179"/>
      <c r="BN112" s="181"/>
      <c r="BO112" s="82"/>
      <c r="BP112" s="82"/>
      <c r="BQ112" s="82"/>
      <c r="BR112" s="83"/>
      <c r="BS112" s="80"/>
      <c r="BT112" s="80"/>
      <c r="BU112" s="80"/>
      <c r="BV112" s="80"/>
      <c r="BW112" s="179"/>
      <c r="BX112" s="81"/>
      <c r="BY112" s="80"/>
      <c r="BZ112" s="80"/>
      <c r="CA112" s="80"/>
      <c r="CB112" s="80"/>
      <c r="CC112" s="80"/>
      <c r="CD112" s="80"/>
      <c r="CE112" s="80"/>
      <c r="CF112" s="80"/>
      <c r="CG112" s="98" t="s">
        <v>1</v>
      </c>
      <c r="CI112" s="135">
        <f>$J$20</f>
        <v>11</v>
      </c>
      <c r="CJ112" s="135" t="str">
        <f t="shared" si="0"/>
        <v>Iniciados</v>
      </c>
      <c r="CK112" s="135" t="str">
        <f t="shared" si="1"/>
        <v>Singulares</v>
      </c>
      <c r="CL112" s="135" t="str">
        <f t="shared" si="2"/>
        <v>Femininos</v>
      </c>
      <c r="CM112" s="135" t="str">
        <f>$J$5</f>
        <v>Grupo B</v>
      </c>
      <c r="CN112" s="135" t="str">
        <f>$K$20</f>
        <v>B4</v>
      </c>
      <c r="CO112" s="135" t="str">
        <f>$K$21</f>
        <v>B3</v>
      </c>
    </row>
    <row r="113" spans="52:93" ht="15" customHeight="1">
      <c r="AZ113" s="88"/>
      <c r="BA113" s="346" t="str">
        <f>IF($BA$107="","",$BA$107)</f>
        <v>A4</v>
      </c>
      <c r="BB113" s="347"/>
      <c r="BC113" s="74"/>
      <c r="BD113" s="75"/>
      <c r="BE113" s="75"/>
      <c r="BF113" s="75"/>
      <c r="BG113" s="75"/>
      <c r="BH113" s="75"/>
      <c r="BI113" s="75"/>
      <c r="BJ113" s="75"/>
      <c r="BK113" s="75"/>
      <c r="BL113" s="76"/>
      <c r="BM113" s="178"/>
      <c r="BN113" s="180"/>
      <c r="BO113" s="77"/>
      <c r="BP113" s="77"/>
      <c r="BQ113" s="77"/>
      <c r="BR113" s="78"/>
      <c r="BS113" s="75"/>
      <c r="BT113" s="75"/>
      <c r="BU113" s="75"/>
      <c r="BV113" s="75"/>
      <c r="BW113" s="178"/>
      <c r="BX113" s="76"/>
      <c r="BY113" s="75"/>
      <c r="BZ113" s="75"/>
      <c r="CA113" s="75"/>
      <c r="CB113" s="75"/>
      <c r="CC113" s="75"/>
      <c r="CD113" s="75"/>
      <c r="CE113" s="75"/>
      <c r="CF113" s="75"/>
      <c r="CG113" s="99"/>
      <c r="CI113" s="135">
        <f>$J$22</f>
        <v>12</v>
      </c>
      <c r="CJ113" s="135" t="str">
        <f t="shared" si="0"/>
        <v>Iniciados</v>
      </c>
      <c r="CK113" s="135" t="str">
        <f t="shared" si="1"/>
        <v>Singulares</v>
      </c>
      <c r="CL113" s="135" t="str">
        <f t="shared" si="2"/>
        <v>Femininos</v>
      </c>
      <c r="CM113" s="135" t="str">
        <f>$J$5</f>
        <v>Grupo B</v>
      </c>
      <c r="CN113" s="135" t="str">
        <f>$K$22</f>
        <v>B1</v>
      </c>
      <c r="CO113" s="135" t="str">
        <f>$K$23</f>
        <v>B2</v>
      </c>
    </row>
    <row r="114" spans="52:93" ht="15" customHeight="1">
      <c r="AZ114" s="88"/>
      <c r="BA114" s="348"/>
      <c r="BB114" s="349"/>
      <c r="BC114" s="79"/>
      <c r="BD114" s="80"/>
      <c r="BE114" s="80"/>
      <c r="BF114" s="80"/>
      <c r="BG114" s="80"/>
      <c r="BH114" s="80"/>
      <c r="BI114" s="80"/>
      <c r="BJ114" s="80"/>
      <c r="BK114" s="80"/>
      <c r="BL114" s="81"/>
      <c r="BM114" s="179"/>
      <c r="BN114" s="181"/>
      <c r="BO114" s="82"/>
      <c r="BP114" s="82"/>
      <c r="BQ114" s="82"/>
      <c r="BR114" s="83"/>
      <c r="BS114" s="80"/>
      <c r="BT114" s="80"/>
      <c r="BU114" s="80"/>
      <c r="BV114" s="80"/>
      <c r="BW114" s="179"/>
      <c r="BX114" s="81"/>
      <c r="BY114" s="80"/>
      <c r="BZ114" s="80"/>
      <c r="CA114" s="80"/>
      <c r="CB114" s="80"/>
      <c r="CC114" s="80"/>
      <c r="CD114" s="80"/>
      <c r="CE114" s="80"/>
      <c r="CF114" s="80"/>
      <c r="CG114" s="92"/>
      <c r="CI114" s="135">
        <f>$Q$20</f>
        <v>13</v>
      </c>
      <c r="CJ114" s="135" t="str">
        <f t="shared" si="0"/>
        <v>Iniciados</v>
      </c>
      <c r="CK114" s="135" t="str">
        <f t="shared" si="1"/>
        <v>Singulares</v>
      </c>
      <c r="CL114" s="135" t="str">
        <f t="shared" si="2"/>
        <v>Femininos</v>
      </c>
      <c r="CM114" s="135" t="str">
        <f>$Q$5</f>
        <v>Grupo C</v>
      </c>
      <c r="CN114" s="135" t="str">
        <f>$R$20</f>
        <v>C4</v>
      </c>
      <c r="CO114" s="135" t="str">
        <f>$R$21</f>
        <v>C3</v>
      </c>
    </row>
    <row r="115" spans="52:93" ht="12.75" customHeight="1">
      <c r="AZ115" s="88"/>
      <c r="BA115" s="84"/>
      <c r="BB115" s="84"/>
      <c r="BC115" s="100">
        <v>1</v>
      </c>
      <c r="BD115" s="100">
        <v>2</v>
      </c>
      <c r="BE115" s="100">
        <v>3</v>
      </c>
      <c r="BF115" s="100">
        <v>4</v>
      </c>
      <c r="BG115" s="100">
        <v>5</v>
      </c>
      <c r="BH115" s="100">
        <v>6</v>
      </c>
      <c r="BI115" s="100">
        <v>7</v>
      </c>
      <c r="BJ115" s="100">
        <v>8</v>
      </c>
      <c r="BK115" s="100">
        <v>9</v>
      </c>
      <c r="BL115" s="100">
        <v>10</v>
      </c>
      <c r="BM115" s="100">
        <v>11</v>
      </c>
      <c r="BN115" s="100">
        <v>12</v>
      </c>
      <c r="BO115" s="100">
        <v>13</v>
      </c>
      <c r="BP115" s="100">
        <v>14</v>
      </c>
      <c r="BQ115" s="100">
        <v>15</v>
      </c>
      <c r="BR115" s="100">
        <v>16</v>
      </c>
      <c r="BS115" s="100">
        <v>17</v>
      </c>
      <c r="BT115" s="100">
        <v>18</v>
      </c>
      <c r="BU115" s="100">
        <v>19</v>
      </c>
      <c r="BV115" s="100">
        <v>20</v>
      </c>
      <c r="BW115" s="100">
        <v>21</v>
      </c>
      <c r="BX115" s="100">
        <v>22</v>
      </c>
      <c r="BY115" s="100">
        <v>23</v>
      </c>
      <c r="BZ115" s="100">
        <v>24</v>
      </c>
      <c r="CA115" s="100">
        <v>25</v>
      </c>
      <c r="CB115" s="100">
        <v>26</v>
      </c>
      <c r="CC115" s="100">
        <v>27</v>
      </c>
      <c r="CD115" s="100">
        <v>28</v>
      </c>
      <c r="CE115" s="100">
        <v>29</v>
      </c>
      <c r="CF115" s="100">
        <v>30</v>
      </c>
      <c r="CG115" s="101"/>
      <c r="CI115" s="135">
        <f>$Q$22</f>
        <v>14</v>
      </c>
      <c r="CJ115" s="135" t="str">
        <f t="shared" si="0"/>
        <v>Iniciados</v>
      </c>
      <c r="CK115" s="135" t="str">
        <f t="shared" si="1"/>
        <v>Singulares</v>
      </c>
      <c r="CL115" s="135" t="str">
        <f t="shared" si="2"/>
        <v>Femininos</v>
      </c>
      <c r="CM115" s="135" t="str">
        <f>$Q$5</f>
        <v>Grupo C</v>
      </c>
      <c r="CN115" s="135" t="str">
        <f>$R$22</f>
        <v>C1</v>
      </c>
      <c r="CO115" s="135" t="str">
        <f>$R$23</f>
        <v>C2</v>
      </c>
    </row>
    <row r="116" spans="52:93" ht="15" customHeight="1">
      <c r="AZ116" s="88"/>
      <c r="BA116" s="346" t="str">
        <f>IF($BA$105="","",$BA$105)</f>
        <v>Joana Pinto (AE Sertã)</v>
      </c>
      <c r="BB116" s="347"/>
      <c r="BC116" s="74"/>
      <c r="BD116" s="75"/>
      <c r="BE116" s="75"/>
      <c r="BF116" s="75"/>
      <c r="BG116" s="75"/>
      <c r="BH116" s="75"/>
      <c r="BI116" s="75"/>
      <c r="BJ116" s="75"/>
      <c r="BK116" s="75"/>
      <c r="BL116" s="76"/>
      <c r="BM116" s="178"/>
      <c r="BN116" s="180"/>
      <c r="BO116" s="77"/>
      <c r="BP116" s="77"/>
      <c r="BQ116" s="77"/>
      <c r="BR116" s="78"/>
      <c r="BS116" s="75"/>
      <c r="BT116" s="75"/>
      <c r="BU116" s="75"/>
      <c r="BV116" s="75"/>
      <c r="BW116" s="178"/>
      <c r="BX116" s="76"/>
      <c r="BY116" s="75"/>
      <c r="BZ116" s="75"/>
      <c r="CA116" s="75"/>
      <c r="CB116" s="75"/>
      <c r="CC116" s="75"/>
      <c r="CD116" s="75"/>
      <c r="CE116" s="75"/>
      <c r="CF116" s="75"/>
      <c r="CG116" s="92"/>
      <c r="CI116" s="135">
        <f>$X$20</f>
        <v>15</v>
      </c>
      <c r="CJ116" s="135" t="str">
        <f t="shared" si="0"/>
        <v>Iniciados</v>
      </c>
      <c r="CK116" s="135" t="str">
        <f t="shared" si="1"/>
        <v>Singulares</v>
      </c>
      <c r="CL116" s="135" t="str">
        <f t="shared" si="2"/>
        <v>Femininos</v>
      </c>
      <c r="CM116" s="135" t="str">
        <f>$X$5</f>
        <v>Grupo D</v>
      </c>
      <c r="CN116" s="135" t="str">
        <f>$Y$20</f>
        <v>D4</v>
      </c>
      <c r="CO116" s="135" t="str">
        <f>$Y$21</f>
        <v>D3</v>
      </c>
    </row>
    <row r="117" spans="52:93" ht="15" customHeight="1">
      <c r="AZ117" s="88"/>
      <c r="BA117" s="348"/>
      <c r="BB117" s="349"/>
      <c r="BC117" s="79"/>
      <c r="BD117" s="80"/>
      <c r="BE117" s="80"/>
      <c r="BF117" s="80"/>
      <c r="BG117" s="80"/>
      <c r="BH117" s="80"/>
      <c r="BI117" s="80"/>
      <c r="BJ117" s="80"/>
      <c r="BK117" s="80"/>
      <c r="BL117" s="81"/>
      <c r="BM117" s="179"/>
      <c r="BN117" s="181"/>
      <c r="BO117" s="82"/>
      <c r="BP117" s="82"/>
      <c r="BQ117" s="82"/>
      <c r="BR117" s="83"/>
      <c r="BS117" s="80"/>
      <c r="BT117" s="80"/>
      <c r="BU117" s="80"/>
      <c r="BV117" s="80"/>
      <c r="BW117" s="179"/>
      <c r="BX117" s="81"/>
      <c r="BY117" s="80"/>
      <c r="BZ117" s="80"/>
      <c r="CA117" s="80"/>
      <c r="CB117" s="80"/>
      <c r="CC117" s="80"/>
      <c r="CD117" s="80"/>
      <c r="CE117" s="80"/>
      <c r="CF117" s="80"/>
      <c r="CG117" s="92"/>
      <c r="CI117" s="135">
        <f>$X$22</f>
        <v>16</v>
      </c>
      <c r="CJ117" s="135" t="str">
        <f t="shared" si="0"/>
        <v>Iniciados</v>
      </c>
      <c r="CK117" s="135" t="str">
        <f t="shared" si="1"/>
        <v>Singulares</v>
      </c>
      <c r="CL117" s="135" t="str">
        <f t="shared" si="2"/>
        <v>Femininos</v>
      </c>
      <c r="CM117" s="135" t="str">
        <f>$X$5</f>
        <v>Grupo D</v>
      </c>
      <c r="CN117" s="135" t="str">
        <f>$Y$22</f>
        <v>D1</v>
      </c>
      <c r="CO117" s="135" t="str">
        <f>$Y$23</f>
        <v>D2</v>
      </c>
    </row>
    <row r="118" spans="52:93" ht="15" customHeight="1">
      <c r="AZ118" s="88"/>
      <c r="BA118" s="346" t="str">
        <f>IF($BA$107="","",$BA$107)</f>
        <v>A4</v>
      </c>
      <c r="BB118" s="347"/>
      <c r="BC118" s="74"/>
      <c r="BD118" s="75"/>
      <c r="BE118" s="75"/>
      <c r="BF118" s="75"/>
      <c r="BG118" s="75"/>
      <c r="BH118" s="75"/>
      <c r="BI118" s="75"/>
      <c r="BJ118" s="75"/>
      <c r="BK118" s="75"/>
      <c r="BL118" s="76"/>
      <c r="BM118" s="178"/>
      <c r="BN118" s="180"/>
      <c r="BO118" s="77"/>
      <c r="BP118" s="77"/>
      <c r="BQ118" s="77"/>
      <c r="BR118" s="78"/>
      <c r="BS118" s="75"/>
      <c r="BT118" s="75"/>
      <c r="BU118" s="75"/>
      <c r="BV118" s="75"/>
      <c r="BW118" s="178"/>
      <c r="BX118" s="76"/>
      <c r="BY118" s="75"/>
      <c r="BZ118" s="75"/>
      <c r="CA118" s="75"/>
      <c r="CB118" s="75"/>
      <c r="CC118" s="75"/>
      <c r="CD118" s="75"/>
      <c r="CE118" s="75"/>
      <c r="CF118" s="75"/>
      <c r="CG118" s="98" t="s">
        <v>2</v>
      </c>
      <c r="CI118" s="135">
        <f>$C$24</f>
        <v>17</v>
      </c>
      <c r="CJ118" s="135" t="str">
        <f t="shared" si="0"/>
        <v>Iniciados</v>
      </c>
      <c r="CK118" s="135" t="str">
        <f t="shared" si="1"/>
        <v>Singulares</v>
      </c>
      <c r="CL118" s="135" t="str">
        <f t="shared" si="2"/>
        <v>Femininos</v>
      </c>
      <c r="CM118" s="135" t="str">
        <f>$C$5</f>
        <v>Grupo A</v>
      </c>
      <c r="CN118" s="135" t="str">
        <f>$D$24</f>
        <v>A2</v>
      </c>
      <c r="CO118" s="135" t="str">
        <f>$D$25</f>
        <v>A4</v>
      </c>
    </row>
    <row r="119" spans="52:93" ht="15" customHeight="1">
      <c r="AZ119" s="88"/>
      <c r="BA119" s="348"/>
      <c r="BB119" s="349"/>
      <c r="BC119" s="79"/>
      <c r="BD119" s="80"/>
      <c r="BE119" s="80"/>
      <c r="BF119" s="80"/>
      <c r="BG119" s="80"/>
      <c r="BH119" s="80"/>
      <c r="BI119" s="80"/>
      <c r="BJ119" s="80"/>
      <c r="BK119" s="80"/>
      <c r="BL119" s="81"/>
      <c r="BM119" s="179"/>
      <c r="BN119" s="181"/>
      <c r="BO119" s="82"/>
      <c r="BP119" s="82"/>
      <c r="BQ119" s="82"/>
      <c r="BR119" s="83"/>
      <c r="BS119" s="80"/>
      <c r="BT119" s="80"/>
      <c r="BU119" s="80"/>
      <c r="BV119" s="80"/>
      <c r="BW119" s="179"/>
      <c r="BX119" s="81"/>
      <c r="BY119" s="80"/>
      <c r="BZ119" s="80"/>
      <c r="CA119" s="80"/>
      <c r="CB119" s="80"/>
      <c r="CC119" s="80"/>
      <c r="CD119" s="80"/>
      <c r="CE119" s="80"/>
      <c r="CF119" s="80"/>
      <c r="CG119" s="92"/>
      <c r="CI119" s="135">
        <f>$C$26</f>
        <v>18</v>
      </c>
      <c r="CJ119" s="135" t="str">
        <f t="shared" si="0"/>
        <v>Iniciados</v>
      </c>
      <c r="CK119" s="135" t="str">
        <f t="shared" si="1"/>
        <v>Singulares</v>
      </c>
      <c r="CL119" s="135" t="str">
        <f t="shared" si="2"/>
        <v>Femininos</v>
      </c>
      <c r="CM119" s="135" t="str">
        <f>$C$5</f>
        <v>Grupo A</v>
      </c>
      <c r="CN119" s="135" t="str">
        <f>$D$26</f>
        <v>A3</v>
      </c>
      <c r="CO119" s="135" t="str">
        <f>$D$27</f>
        <v>Joana Pinto (AE Sertã)</v>
      </c>
    </row>
    <row r="120" spans="52:93" ht="12.75" customHeight="1">
      <c r="AZ120" s="88"/>
      <c r="BA120" s="84"/>
      <c r="BB120" s="84"/>
      <c r="BC120" s="100">
        <v>1</v>
      </c>
      <c r="BD120" s="100">
        <v>2</v>
      </c>
      <c r="BE120" s="100">
        <v>3</v>
      </c>
      <c r="BF120" s="100">
        <v>4</v>
      </c>
      <c r="BG120" s="100">
        <v>5</v>
      </c>
      <c r="BH120" s="100">
        <v>6</v>
      </c>
      <c r="BI120" s="100">
        <v>7</v>
      </c>
      <c r="BJ120" s="100">
        <v>8</v>
      </c>
      <c r="BK120" s="100">
        <v>9</v>
      </c>
      <c r="BL120" s="100">
        <v>10</v>
      </c>
      <c r="BM120" s="100">
        <v>11</v>
      </c>
      <c r="BN120" s="100">
        <v>12</v>
      </c>
      <c r="BO120" s="100">
        <v>13</v>
      </c>
      <c r="BP120" s="100">
        <v>14</v>
      </c>
      <c r="BQ120" s="100">
        <v>15</v>
      </c>
      <c r="BR120" s="100">
        <v>16</v>
      </c>
      <c r="BS120" s="100">
        <v>17</v>
      </c>
      <c r="BT120" s="100">
        <v>18</v>
      </c>
      <c r="BU120" s="100">
        <v>19</v>
      </c>
      <c r="BV120" s="100">
        <v>20</v>
      </c>
      <c r="BW120" s="100">
        <v>21</v>
      </c>
      <c r="BX120" s="100">
        <v>22</v>
      </c>
      <c r="BY120" s="100">
        <v>23</v>
      </c>
      <c r="BZ120" s="100">
        <v>24</v>
      </c>
      <c r="CA120" s="100">
        <v>25</v>
      </c>
      <c r="CB120" s="100">
        <v>26</v>
      </c>
      <c r="CC120" s="100">
        <v>27</v>
      </c>
      <c r="CD120" s="100">
        <v>28</v>
      </c>
      <c r="CE120" s="100">
        <v>29</v>
      </c>
      <c r="CF120" s="100">
        <v>30</v>
      </c>
      <c r="CG120" s="101"/>
      <c r="CI120" s="135">
        <f>$J$24</f>
        <v>19</v>
      </c>
      <c r="CJ120" s="135" t="str">
        <f t="shared" si="0"/>
        <v>Iniciados</v>
      </c>
      <c r="CK120" s="135" t="str">
        <f t="shared" si="1"/>
        <v>Singulares</v>
      </c>
      <c r="CL120" s="135" t="str">
        <f t="shared" si="2"/>
        <v>Femininos</v>
      </c>
      <c r="CM120" s="135" t="str">
        <f>$J$5</f>
        <v>Grupo B</v>
      </c>
      <c r="CN120" s="135" t="str">
        <f>$K$24</f>
        <v>B2</v>
      </c>
      <c r="CO120" s="135" t="str">
        <f>$K$25</f>
        <v>B4</v>
      </c>
    </row>
    <row r="121" spans="52:93" ht="15" customHeight="1">
      <c r="AZ121" s="88"/>
      <c r="BA121" s="346" t="str">
        <f>IF($BA$105="","",$BA$105)</f>
        <v>Joana Pinto (AE Sertã)</v>
      </c>
      <c r="BB121" s="347"/>
      <c r="BC121" s="74"/>
      <c r="BD121" s="75"/>
      <c r="BE121" s="75"/>
      <c r="BF121" s="75"/>
      <c r="BG121" s="75"/>
      <c r="BH121" s="75"/>
      <c r="BI121" s="75"/>
      <c r="BJ121" s="75"/>
      <c r="BK121" s="75"/>
      <c r="BL121" s="76"/>
      <c r="BM121" s="178"/>
      <c r="BN121" s="180"/>
      <c r="BO121" s="77"/>
      <c r="BP121" s="77"/>
      <c r="BQ121" s="77"/>
      <c r="BR121" s="78"/>
      <c r="BS121" s="75"/>
      <c r="BT121" s="75"/>
      <c r="BU121" s="75"/>
      <c r="BV121" s="75"/>
      <c r="BW121" s="178"/>
      <c r="BX121" s="76"/>
      <c r="BY121" s="75"/>
      <c r="BZ121" s="75"/>
      <c r="CA121" s="75"/>
      <c r="CB121" s="75"/>
      <c r="CC121" s="75"/>
      <c r="CD121" s="75"/>
      <c r="CE121" s="75"/>
      <c r="CF121" s="75"/>
      <c r="CG121" s="92"/>
      <c r="CI121" s="135">
        <f>$J$26</f>
        <v>20</v>
      </c>
      <c r="CJ121" s="135" t="str">
        <f t="shared" si="0"/>
        <v>Iniciados</v>
      </c>
      <c r="CK121" s="135" t="str">
        <f t="shared" si="1"/>
        <v>Singulares</v>
      </c>
      <c r="CL121" s="135" t="str">
        <f t="shared" si="2"/>
        <v>Femininos</v>
      </c>
      <c r="CM121" s="135" t="str">
        <f>$J$5</f>
        <v>Grupo B</v>
      </c>
      <c r="CN121" s="135" t="str">
        <f>$K$26</f>
        <v>B3</v>
      </c>
      <c r="CO121" s="135" t="str">
        <f>$K$27</f>
        <v>B1</v>
      </c>
    </row>
    <row r="122" spans="52:93" ht="15" customHeight="1">
      <c r="AZ122" s="88"/>
      <c r="BA122" s="348"/>
      <c r="BB122" s="349"/>
      <c r="BC122" s="79"/>
      <c r="BD122" s="80"/>
      <c r="BE122" s="80"/>
      <c r="BF122" s="80"/>
      <c r="BG122" s="80"/>
      <c r="BH122" s="80"/>
      <c r="BI122" s="80"/>
      <c r="BJ122" s="80"/>
      <c r="BK122" s="80"/>
      <c r="BL122" s="81"/>
      <c r="BM122" s="179"/>
      <c r="BN122" s="181"/>
      <c r="BO122" s="82"/>
      <c r="BP122" s="82"/>
      <c r="BQ122" s="82"/>
      <c r="BR122" s="83"/>
      <c r="BS122" s="80"/>
      <c r="BT122" s="80"/>
      <c r="BU122" s="80"/>
      <c r="BV122" s="80"/>
      <c r="BW122" s="179"/>
      <c r="BX122" s="81"/>
      <c r="BY122" s="80"/>
      <c r="BZ122" s="80"/>
      <c r="CA122" s="80"/>
      <c r="CB122" s="80"/>
      <c r="CC122" s="80"/>
      <c r="CD122" s="80"/>
      <c r="CE122" s="80"/>
      <c r="CF122" s="80"/>
      <c r="CG122" s="92"/>
      <c r="CI122" s="135">
        <f>$Q$24</f>
        <v>21</v>
      </c>
      <c r="CJ122" s="135" t="str">
        <f t="shared" si="0"/>
        <v>Iniciados</v>
      </c>
      <c r="CK122" s="135" t="str">
        <f t="shared" si="1"/>
        <v>Singulares</v>
      </c>
      <c r="CL122" s="135" t="str">
        <f t="shared" si="2"/>
        <v>Femininos</v>
      </c>
      <c r="CM122" s="135" t="str">
        <f>$Q$5</f>
        <v>Grupo C</v>
      </c>
      <c r="CN122" s="135" t="str">
        <f>$R$24</f>
        <v>C2</v>
      </c>
      <c r="CO122" s="135" t="str">
        <f>$R$25</f>
        <v>C4</v>
      </c>
    </row>
    <row r="123" spans="52:93" ht="15" customHeight="1">
      <c r="AZ123" s="88"/>
      <c r="BA123" s="346" t="str">
        <f>IF($BA$107="","",$BA$107)</f>
        <v>A4</v>
      </c>
      <c r="BB123" s="347"/>
      <c r="BC123" s="74"/>
      <c r="BD123" s="75"/>
      <c r="BE123" s="75"/>
      <c r="BF123" s="75"/>
      <c r="BG123" s="75"/>
      <c r="BH123" s="75"/>
      <c r="BI123" s="75"/>
      <c r="BJ123" s="75"/>
      <c r="BK123" s="75"/>
      <c r="BL123" s="76"/>
      <c r="BM123" s="178"/>
      <c r="BN123" s="180"/>
      <c r="BO123" s="77"/>
      <c r="BP123" s="77"/>
      <c r="BQ123" s="77"/>
      <c r="BR123" s="78"/>
      <c r="BS123" s="75"/>
      <c r="BT123" s="75"/>
      <c r="BU123" s="75"/>
      <c r="BV123" s="75"/>
      <c r="BW123" s="178"/>
      <c r="BX123" s="76"/>
      <c r="BY123" s="75"/>
      <c r="BZ123" s="75"/>
      <c r="CA123" s="75"/>
      <c r="CB123" s="75"/>
      <c r="CC123" s="75"/>
      <c r="CD123" s="75"/>
      <c r="CE123" s="75"/>
      <c r="CF123" s="75"/>
      <c r="CG123" s="98" t="s">
        <v>3</v>
      </c>
      <c r="CI123" s="135">
        <f>$Q$26</f>
        <v>22</v>
      </c>
      <c r="CJ123" s="135" t="str">
        <f t="shared" si="0"/>
        <v>Iniciados</v>
      </c>
      <c r="CK123" s="135" t="str">
        <f t="shared" si="1"/>
        <v>Singulares</v>
      </c>
      <c r="CL123" s="135" t="str">
        <f t="shared" si="2"/>
        <v>Femininos</v>
      </c>
      <c r="CM123" s="135" t="str">
        <f>$Q$5</f>
        <v>Grupo C</v>
      </c>
      <c r="CN123" s="135" t="str">
        <f>$R$26</f>
        <v>C3</v>
      </c>
      <c r="CO123" s="135" t="str">
        <f>$R$27</f>
        <v>C1</v>
      </c>
    </row>
    <row r="124" spans="52:93" ht="15" customHeight="1">
      <c r="AZ124" s="88"/>
      <c r="BA124" s="348"/>
      <c r="BB124" s="349"/>
      <c r="BC124" s="79"/>
      <c r="BD124" s="80"/>
      <c r="BE124" s="80"/>
      <c r="BF124" s="80"/>
      <c r="BG124" s="80"/>
      <c r="BH124" s="80"/>
      <c r="BI124" s="80"/>
      <c r="BJ124" s="80"/>
      <c r="BK124" s="80"/>
      <c r="BL124" s="81"/>
      <c r="BM124" s="179"/>
      <c r="BN124" s="181"/>
      <c r="BO124" s="82"/>
      <c r="BP124" s="82"/>
      <c r="BQ124" s="82"/>
      <c r="BR124" s="83"/>
      <c r="BS124" s="80"/>
      <c r="BT124" s="80"/>
      <c r="BU124" s="80"/>
      <c r="BV124" s="80"/>
      <c r="BW124" s="179"/>
      <c r="BX124" s="81"/>
      <c r="BY124" s="80"/>
      <c r="BZ124" s="80"/>
      <c r="CA124" s="80"/>
      <c r="CB124" s="80"/>
      <c r="CC124" s="80"/>
      <c r="CD124" s="80"/>
      <c r="CE124" s="80"/>
      <c r="CF124" s="80"/>
      <c r="CG124" s="92"/>
      <c r="CI124" s="135">
        <f>$X$24</f>
        <v>23</v>
      </c>
      <c r="CJ124" s="135" t="str">
        <f t="shared" si="0"/>
        <v>Iniciados</v>
      </c>
      <c r="CK124" s="135" t="str">
        <f t="shared" si="1"/>
        <v>Singulares</v>
      </c>
      <c r="CL124" s="135" t="str">
        <f t="shared" si="2"/>
        <v>Femininos</v>
      </c>
      <c r="CM124" s="135" t="str">
        <f>$X$5</f>
        <v>Grupo D</v>
      </c>
      <c r="CN124" s="135" t="str">
        <f>$Y$24</f>
        <v>D2</v>
      </c>
      <c r="CO124" s="135" t="str">
        <f>$Y$25</f>
        <v>D4</v>
      </c>
    </row>
    <row r="125" spans="52:93" ht="44.25" customHeight="1">
      <c r="AZ125" s="102"/>
      <c r="BA125" s="103" t="s">
        <v>35</v>
      </c>
      <c r="BB125" s="104"/>
      <c r="BC125" s="105"/>
      <c r="BD125" s="105"/>
      <c r="BE125" s="105"/>
      <c r="BF125" s="105"/>
      <c r="BG125" s="105"/>
      <c r="BH125" s="105"/>
      <c r="BI125" s="105"/>
      <c r="BJ125" s="105"/>
      <c r="BK125" s="105"/>
      <c r="BL125" s="105"/>
      <c r="BM125" s="105"/>
      <c r="BN125" s="105"/>
      <c r="BO125" s="105"/>
      <c r="BP125" s="105"/>
      <c r="BQ125" s="105"/>
      <c r="BR125" s="85"/>
      <c r="BS125" s="85"/>
      <c r="BT125" s="85"/>
      <c r="BU125" s="85"/>
      <c r="BV125" s="85"/>
      <c r="BW125" s="85"/>
      <c r="BX125" s="85"/>
      <c r="BY125" s="85"/>
      <c r="BZ125" s="85"/>
      <c r="CA125" s="85"/>
      <c r="CB125" s="85"/>
      <c r="CC125" s="85"/>
      <c r="CD125" s="85"/>
      <c r="CE125" s="85"/>
      <c r="CF125" s="85"/>
      <c r="CG125" s="81"/>
      <c r="CI125" s="135">
        <f>$X$26</f>
        <v>24</v>
      </c>
      <c r="CJ125" s="135" t="str">
        <f t="shared" si="0"/>
        <v>Iniciados</v>
      </c>
      <c r="CK125" s="135" t="str">
        <f t="shared" si="1"/>
        <v>Singulares</v>
      </c>
      <c r="CL125" s="135" t="str">
        <f t="shared" si="2"/>
        <v>Femininos</v>
      </c>
      <c r="CM125" s="135" t="str">
        <f>$X$5</f>
        <v>Grupo D</v>
      </c>
      <c r="CN125" s="135" t="str">
        <f>$Y$26</f>
        <v>D3</v>
      </c>
      <c r="CO125" s="135" t="str">
        <f>$Y$27</f>
        <v>D1</v>
      </c>
    </row>
    <row r="126" spans="52:93" ht="185.25" customHeight="1">
      <c r="AZ126" s="366" t="s">
        <v>412</v>
      </c>
      <c r="BA126" s="366"/>
      <c r="BB126" s="366"/>
      <c r="BC126" s="366"/>
      <c r="BD126" s="366"/>
      <c r="BE126" s="366"/>
      <c r="BF126" s="366"/>
      <c r="BG126" s="366"/>
      <c r="BH126" s="366"/>
      <c r="BI126" s="366"/>
      <c r="BJ126" s="366"/>
      <c r="BK126" s="366"/>
      <c r="BL126" s="366"/>
      <c r="BM126" s="366"/>
      <c r="BN126" s="366"/>
      <c r="BO126" s="366"/>
      <c r="BP126" s="366"/>
      <c r="BQ126" s="366"/>
      <c r="BR126" s="366"/>
      <c r="BS126" s="366"/>
      <c r="BT126" s="366"/>
      <c r="BU126" s="366"/>
      <c r="BV126" s="366"/>
      <c r="BW126" s="366"/>
      <c r="BX126" s="366"/>
      <c r="BY126" s="366"/>
      <c r="BZ126" s="366"/>
      <c r="CA126" s="366"/>
      <c r="CB126" s="366"/>
      <c r="CC126" s="366"/>
      <c r="CD126" s="366"/>
      <c r="CE126" s="366"/>
      <c r="CF126" s="366"/>
      <c r="CG126" s="366"/>
      <c r="CI126" s="135">
        <f>$H$31</f>
        <v>25</v>
      </c>
      <c r="CJ126" s="135" t="str">
        <f t="shared" si="0"/>
        <v>Iniciados</v>
      </c>
      <c r="CK126" s="135" t="str">
        <f t="shared" si="1"/>
        <v>Singulares</v>
      </c>
      <c r="CL126" s="135" t="str">
        <f t="shared" si="2"/>
        <v>Femininos</v>
      </c>
      <c r="CM126" s="135" t="str">
        <f>"1º Jogo dos 1/4 final"</f>
        <v>1º Jogo dos 1/4 final</v>
      </c>
      <c r="CN126" s="135" t="str">
        <f>$C$30</f>
        <v>Joana Pinto (AE Sertã)</v>
      </c>
      <c r="CO126" s="135" t="str">
        <f>$C$32</f>
        <v>2º do grupo B</v>
      </c>
    </row>
    <row r="127" spans="52:93" ht="38.25" customHeight="1">
      <c r="AZ127" s="87"/>
      <c r="BA127" s="367" t="str">
        <f>IF(BB128="","",CONCATENATE(VLOOKUP(BB128,$CI$102:$CO$145,2,FALSE),"  -  ",VLOOKUP(BB128,$CI$102:$CO$145,3,FALSE),,"  -  ",VLOOKUP(BB128,$CI$102:$CO$145,4,FALSE),"  -  ",VLOOKUP(BB128,$CI$102:$CO$145,5,FALSE)))</f>
        <v>Iniciados  -  Singulares  -  Femininos  -  Grupo B</v>
      </c>
      <c r="BB127" s="367"/>
      <c r="BC127" s="367"/>
      <c r="BD127" s="367"/>
      <c r="BE127" s="367"/>
      <c r="BF127" s="367"/>
      <c r="BG127" s="367"/>
      <c r="BH127" s="367"/>
      <c r="BI127" s="367"/>
      <c r="BJ127" s="367"/>
      <c r="BK127" s="367"/>
      <c r="BL127" s="367"/>
      <c r="BM127" s="367"/>
      <c r="BN127" s="86"/>
      <c r="BO127" s="86"/>
      <c r="BP127" s="86"/>
      <c r="BQ127" s="86"/>
      <c r="BR127" s="86"/>
      <c r="BS127" s="86"/>
      <c r="BT127" s="86"/>
      <c r="BU127" s="86"/>
      <c r="BV127" s="86"/>
      <c r="BW127" s="86"/>
      <c r="BX127" s="86"/>
      <c r="BY127" s="86"/>
      <c r="BZ127" s="86"/>
      <c r="CA127" s="86"/>
      <c r="CB127" s="86"/>
      <c r="CC127" s="86"/>
      <c r="CD127" s="86"/>
      <c r="CE127" s="86"/>
      <c r="CF127" s="86"/>
      <c r="CG127" s="76"/>
      <c r="CI127" s="135">
        <f>$H$35</f>
        <v>26</v>
      </c>
      <c r="CJ127" s="135" t="str">
        <f t="shared" si="0"/>
        <v>Iniciados</v>
      </c>
      <c r="CK127" s="135" t="str">
        <f t="shared" si="1"/>
        <v>Singulares</v>
      </c>
      <c r="CL127" s="135" t="str">
        <f t="shared" si="2"/>
        <v>Femininos</v>
      </c>
      <c r="CM127" s="135" t="str">
        <f>"2º Jogo dos 1/4 final"</f>
        <v>2º Jogo dos 1/4 final</v>
      </c>
      <c r="CN127" s="135" t="str">
        <f>$C$34</f>
        <v>2º do grupo D</v>
      </c>
      <c r="CO127" s="135" t="str">
        <f>$C$36</f>
        <v>1º do grupo C</v>
      </c>
    </row>
    <row r="128" spans="52:93" ht="20.25" customHeight="1">
      <c r="AZ128" s="88"/>
      <c r="BA128" s="89" t="s">
        <v>25</v>
      </c>
      <c r="BB128" s="137">
        <f>IF($AI$27="","",$AI$27)</f>
        <v>4</v>
      </c>
      <c r="BC128" s="84"/>
      <c r="BD128" s="84"/>
      <c r="BE128" s="84"/>
      <c r="BF128" s="84"/>
      <c r="BG128" s="84"/>
      <c r="BH128" s="84"/>
      <c r="BI128" s="177" t="s">
        <v>51</v>
      </c>
      <c r="BJ128" s="84"/>
      <c r="BK128" s="84"/>
      <c r="BL128" s="294"/>
      <c r="BM128" s="295"/>
      <c r="BN128" s="90"/>
      <c r="BO128" s="90"/>
      <c r="BP128" s="90"/>
      <c r="BQ128" s="91"/>
      <c r="BR128" s="84"/>
      <c r="BS128" s="84"/>
      <c r="BT128" s="84"/>
      <c r="BU128" s="84"/>
      <c r="BV128" s="84"/>
      <c r="BW128" s="84"/>
      <c r="BX128" s="84"/>
      <c r="BY128" s="84"/>
      <c r="BZ128" s="84"/>
      <c r="CA128" s="84"/>
      <c r="CB128" s="84"/>
      <c r="CC128" s="84"/>
      <c r="CD128" s="84"/>
      <c r="CE128" s="84"/>
      <c r="CF128" s="84"/>
      <c r="CG128" s="92"/>
      <c r="CI128" s="135">
        <f>$H$39</f>
        <v>27</v>
      </c>
      <c r="CJ128" s="135" t="str">
        <f t="shared" si="0"/>
        <v>Iniciados</v>
      </c>
      <c r="CK128" s="135" t="str">
        <f t="shared" si="1"/>
        <v>Singulares</v>
      </c>
      <c r="CL128" s="135" t="str">
        <f t="shared" si="2"/>
        <v>Femininos</v>
      </c>
      <c r="CM128" s="135" t="str">
        <f>"3º Jogo dos 1/4 final"</f>
        <v>3º Jogo dos 1/4 final</v>
      </c>
      <c r="CN128" s="135" t="str">
        <f>$C$38</f>
        <v>1º do grupo B</v>
      </c>
      <c r="CO128" s="135" t="str">
        <f>$C$40</f>
        <v>A4</v>
      </c>
    </row>
    <row r="129" spans="52:93" ht="7.5" customHeight="1">
      <c r="AZ129" s="88"/>
      <c r="BA129" s="84"/>
      <c r="BB129" s="84"/>
      <c r="BC129" s="84"/>
      <c r="BD129" s="84"/>
      <c r="BE129" s="84"/>
      <c r="BF129" s="84"/>
      <c r="BG129" s="84"/>
      <c r="BH129" s="84"/>
      <c r="BI129" s="84"/>
      <c r="BJ129" s="84"/>
      <c r="BK129" s="84"/>
      <c r="BL129" s="296"/>
      <c r="BM129" s="297"/>
      <c r="BN129" s="84"/>
      <c r="BO129" s="84"/>
      <c r="BP129" s="84"/>
      <c r="BQ129" s="84"/>
      <c r="BR129" s="84"/>
      <c r="BS129" s="84"/>
      <c r="BT129" s="84"/>
      <c r="BU129" s="84"/>
      <c r="BV129" s="84"/>
      <c r="BW129" s="84"/>
      <c r="BX129" s="84"/>
      <c r="BY129" s="84"/>
      <c r="BZ129" s="84"/>
      <c r="CA129" s="84"/>
      <c r="CB129" s="84"/>
      <c r="CC129" s="84"/>
      <c r="CD129" s="84"/>
      <c r="CE129" s="84"/>
      <c r="CF129" s="84"/>
      <c r="CG129" s="92"/>
      <c r="CI129" s="135">
        <f>$H$43</f>
        <v>28</v>
      </c>
      <c r="CJ129" s="135" t="str">
        <f t="shared" si="0"/>
        <v>Iniciados</v>
      </c>
      <c r="CK129" s="135" t="str">
        <f t="shared" si="1"/>
        <v>Singulares</v>
      </c>
      <c r="CL129" s="135" t="str">
        <f t="shared" si="2"/>
        <v>Femininos</v>
      </c>
      <c r="CM129" s="135" t="str">
        <f>"4º Jogo dos 1/4 final"</f>
        <v>4º Jogo dos 1/4 final</v>
      </c>
      <c r="CN129" s="135" t="str">
        <f>$C$42</f>
        <v>2º do grupo C</v>
      </c>
      <c r="CO129" s="135" t="str">
        <f>$C$44</f>
        <v>1º do grupo D</v>
      </c>
    </row>
    <row r="130" spans="52:93" ht="17.25" customHeight="1" thickBot="1">
      <c r="AZ130" s="88"/>
      <c r="BA130" s="368" t="s">
        <v>34</v>
      </c>
      <c r="BB130" s="368"/>
      <c r="BC130" s="93" t="s">
        <v>20</v>
      </c>
      <c r="BD130" s="93"/>
      <c r="BE130" s="93"/>
      <c r="BF130" s="93" t="s">
        <v>21</v>
      </c>
      <c r="BG130" s="93"/>
      <c r="BH130" s="93"/>
      <c r="BI130" s="93" t="s">
        <v>22</v>
      </c>
      <c r="BJ130" s="93"/>
      <c r="BK130" s="93"/>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92"/>
      <c r="CI130" s="135">
        <f>$O$33</f>
        <v>29</v>
      </c>
      <c r="CJ130" s="135" t="str">
        <f t="shared" si="0"/>
        <v>Iniciados</v>
      </c>
      <c r="CK130" s="135" t="str">
        <f t="shared" si="1"/>
        <v>Singulares</v>
      </c>
      <c r="CL130" s="135" t="str">
        <f t="shared" si="2"/>
        <v>Femininos</v>
      </c>
      <c r="CM130" s="135" t="str">
        <f>"1ª Meia Final"</f>
        <v>1ª Meia Final</v>
      </c>
      <c r="CN130" s="135" t="str">
        <f>$I$31</f>
        <v>1ª Meia Final-Jogador1</v>
      </c>
      <c r="CO130" s="135" t="str">
        <f>$I$35</f>
        <v>1ª Meia Final-Jogador2</v>
      </c>
    </row>
    <row r="131" spans="52:93" ht="19.5" customHeight="1">
      <c r="AZ131" s="88"/>
      <c r="BA131" s="350" t="str">
        <f>IF(BB128="","",VLOOKUP(BB128,$CI$102:$CO$145,6,FALSE))</f>
        <v>B2</v>
      </c>
      <c r="BB131" s="351"/>
      <c r="BC131" s="354"/>
      <c r="BD131" s="355"/>
      <c r="BE131" s="356"/>
      <c r="BF131" s="354"/>
      <c r="BG131" s="355"/>
      <c r="BH131" s="356"/>
      <c r="BI131" s="354"/>
      <c r="BJ131" s="355"/>
      <c r="BK131" s="356"/>
      <c r="BL131" s="72"/>
      <c r="BM131" s="72"/>
      <c r="BN131" s="360"/>
      <c r="BO131" s="360"/>
      <c r="BP131" s="360"/>
      <c r="BQ131" s="94"/>
      <c r="BR131" s="95"/>
      <c r="BS131" s="84"/>
      <c r="BT131" s="84"/>
      <c r="BU131" s="84"/>
      <c r="BV131" s="84"/>
      <c r="BW131" s="84"/>
      <c r="BX131" s="84"/>
      <c r="BY131" s="84"/>
      <c r="BZ131" s="84"/>
      <c r="CA131" s="84"/>
      <c r="CB131" s="84"/>
      <c r="CC131" s="84"/>
      <c r="CD131" s="84"/>
      <c r="CE131" s="84"/>
      <c r="CF131" s="84"/>
      <c r="CG131" s="92"/>
      <c r="CI131" s="135">
        <f>$O$41</f>
        <v>30</v>
      </c>
      <c r="CJ131" s="135" t="str">
        <f t="shared" si="0"/>
        <v>Iniciados</v>
      </c>
      <c r="CK131" s="135" t="str">
        <f t="shared" si="1"/>
        <v>Singulares</v>
      </c>
      <c r="CL131" s="135" t="str">
        <f t="shared" si="2"/>
        <v>Femininos</v>
      </c>
      <c r="CM131" s="135" t="str">
        <f>"2ª Meia Final"</f>
        <v>2ª Meia Final</v>
      </c>
      <c r="CN131" s="135" t="str">
        <f>$I$39</f>
        <v>2ª Meia Final-Jogador1</v>
      </c>
      <c r="CO131" s="135" t="str">
        <f>$I$43</f>
        <v>2ª Meia Final-Jogador2</v>
      </c>
    </row>
    <row r="132" spans="52:93" ht="19.5" customHeight="1" thickBot="1">
      <c r="AZ132" s="88"/>
      <c r="BA132" s="352"/>
      <c r="BB132" s="353"/>
      <c r="BC132" s="357"/>
      <c r="BD132" s="358"/>
      <c r="BE132" s="359"/>
      <c r="BF132" s="357"/>
      <c r="BG132" s="358"/>
      <c r="BH132" s="359"/>
      <c r="BI132" s="357"/>
      <c r="BJ132" s="358"/>
      <c r="BK132" s="359"/>
      <c r="BL132" s="72"/>
      <c r="BM132" s="72"/>
      <c r="BN132" s="360"/>
      <c r="BO132" s="360"/>
      <c r="BP132" s="360"/>
      <c r="BQ132" s="94"/>
      <c r="BR132" s="95"/>
      <c r="BS132" s="84"/>
      <c r="BT132" s="84"/>
      <c r="BU132" s="84"/>
      <c r="BV132" s="84"/>
      <c r="BW132" s="84"/>
      <c r="BX132" s="84"/>
      <c r="BY132" s="84"/>
      <c r="BZ132" s="84"/>
      <c r="CA132" s="84"/>
      <c r="CB132" s="84"/>
      <c r="CC132" s="84"/>
      <c r="CD132" s="84"/>
      <c r="CE132" s="84"/>
      <c r="CF132" s="84"/>
      <c r="CG132" s="92"/>
      <c r="CI132" s="135">
        <f>$V$37</f>
        <v>31</v>
      </c>
      <c r="CJ132" s="135" t="str">
        <f t="shared" si="0"/>
        <v>Iniciados</v>
      </c>
      <c r="CK132" s="135" t="str">
        <f t="shared" si="1"/>
        <v>Singulares</v>
      </c>
      <c r="CL132" s="135" t="str">
        <f t="shared" si="2"/>
        <v>Femininos</v>
      </c>
      <c r="CM132" s="135" t="str">
        <f>"Jogo 3º/4º lugar"</f>
        <v>Jogo 3º/4º lugar</v>
      </c>
      <c r="CN132" s="135" t="str">
        <f>$P$35</f>
        <v>Disputa 3º/4º  Jogador1</v>
      </c>
      <c r="CO132" s="135" t="str">
        <f>$P$39</f>
        <v>Disputa 3º/4º  Jogador2</v>
      </c>
    </row>
    <row r="133" spans="52:93" ht="19.5" customHeight="1">
      <c r="AZ133" s="88"/>
      <c r="BA133" s="350" t="str">
        <f>IF(BB128="","",VLOOKUP(BB128,$CI$102:$CO$145,7,FALSE))</f>
        <v>B3</v>
      </c>
      <c r="BB133" s="351"/>
      <c r="BC133" s="354"/>
      <c r="BD133" s="355"/>
      <c r="BE133" s="356"/>
      <c r="BF133" s="354"/>
      <c r="BG133" s="355"/>
      <c r="BH133" s="356"/>
      <c r="BI133" s="354"/>
      <c r="BJ133" s="355"/>
      <c r="BK133" s="356"/>
      <c r="BL133" s="72"/>
      <c r="BM133" s="72"/>
      <c r="BN133" s="360"/>
      <c r="BO133" s="360"/>
      <c r="BP133" s="360"/>
      <c r="BQ133" s="94"/>
      <c r="BR133" s="95"/>
      <c r="BS133" s="84"/>
      <c r="BT133" s="84"/>
      <c r="BU133" s="84"/>
      <c r="BV133" s="84"/>
      <c r="BW133" s="84"/>
      <c r="BX133" s="84"/>
      <c r="BY133" s="84"/>
      <c r="BZ133" s="84"/>
      <c r="CA133" s="84"/>
      <c r="CB133" s="84"/>
      <c r="CC133" s="84"/>
      <c r="CD133" s="84"/>
      <c r="CE133" s="84"/>
      <c r="CF133" s="84"/>
      <c r="CG133" s="92"/>
      <c r="CI133" s="136">
        <f>$W$37</f>
        <v>32</v>
      </c>
      <c r="CJ133" s="136" t="str">
        <f t="shared" si="0"/>
        <v>Iniciados</v>
      </c>
      <c r="CK133" s="136" t="str">
        <f t="shared" si="1"/>
        <v>Singulares</v>
      </c>
      <c r="CL133" s="136" t="str">
        <f t="shared" si="2"/>
        <v>Femininos</v>
      </c>
      <c r="CM133" s="136" t="str">
        <f>"Final"</f>
        <v>Final</v>
      </c>
      <c r="CN133" s="136" t="str">
        <f>$P$33</f>
        <v>Final-Jogador1</v>
      </c>
      <c r="CO133" s="136" t="str">
        <f>$P$41</f>
        <v>Final-Jogador2</v>
      </c>
    </row>
    <row r="134" spans="52:93" ht="19.5" customHeight="1" thickBot="1">
      <c r="AZ134" s="88"/>
      <c r="BA134" s="352"/>
      <c r="BB134" s="353"/>
      <c r="BC134" s="357"/>
      <c r="BD134" s="358"/>
      <c r="BE134" s="359"/>
      <c r="BF134" s="357"/>
      <c r="BG134" s="358"/>
      <c r="BH134" s="359"/>
      <c r="BI134" s="357"/>
      <c r="BJ134" s="358"/>
      <c r="BK134" s="359"/>
      <c r="BL134" s="72"/>
      <c r="BM134" s="72"/>
      <c r="BN134" s="360"/>
      <c r="BO134" s="360"/>
      <c r="BP134" s="360"/>
      <c r="BQ134" s="96"/>
      <c r="BR134" s="95"/>
      <c r="BS134" s="84"/>
      <c r="BT134" s="84"/>
      <c r="BU134" s="84"/>
      <c r="BV134" s="84"/>
      <c r="BW134" s="84"/>
      <c r="BX134" s="84"/>
      <c r="BY134" s="84"/>
      <c r="BZ134" s="84"/>
      <c r="CA134" s="84"/>
      <c r="CB134" s="84"/>
      <c r="CC134" s="84"/>
      <c r="CD134" s="84"/>
      <c r="CE134" s="84"/>
      <c r="CF134" s="84"/>
      <c r="CG134" s="92"/>
      <c r="CI134" s="135">
        <f>$O$52</f>
        <v>33</v>
      </c>
      <c r="CJ134" s="135" t="str">
        <f t="shared" si="0"/>
        <v>Iniciados</v>
      </c>
      <c r="CK134" s="135" t="str">
        <f t="shared" si="1"/>
        <v>Singulares</v>
      </c>
      <c r="CL134" s="135" t="str">
        <f t="shared" si="2"/>
        <v>Femininos</v>
      </c>
      <c r="CM134" s="135" t="str">
        <f>"Disp 5º-8º - Jogo1"</f>
        <v>Disp 5º-8º - Jogo1</v>
      </c>
      <c r="CN134" s="135" t="str">
        <f>$I$50</f>
        <v>Vencido do jogo 25</v>
      </c>
      <c r="CO134" s="135" t="str">
        <f>$I$54</f>
        <v>Vencido do jogo 26</v>
      </c>
    </row>
    <row r="135" spans="52:93" ht="22.5" customHeight="1" thickBot="1">
      <c r="AZ135" s="88"/>
      <c r="BA135" s="97" t="s">
        <v>23</v>
      </c>
      <c r="BB135" s="361"/>
      <c r="BC135" s="362"/>
      <c r="BD135" s="362"/>
      <c r="BE135" s="362"/>
      <c r="BF135" s="363"/>
      <c r="BG135" s="363"/>
      <c r="BH135" s="363"/>
      <c r="BI135" s="363"/>
      <c r="BJ135" s="363"/>
      <c r="BK135" s="363"/>
      <c r="BL135" s="364"/>
      <c r="BM135" s="365"/>
      <c r="BN135" s="365"/>
      <c r="BO135" s="365"/>
      <c r="BP135" s="365"/>
      <c r="BQ135" s="95"/>
      <c r="BR135" s="95"/>
      <c r="BS135" s="84"/>
      <c r="BT135" s="84"/>
      <c r="BU135" s="84"/>
      <c r="BV135" s="84"/>
      <c r="BW135" s="84"/>
      <c r="BX135" s="84"/>
      <c r="BY135" s="84"/>
      <c r="BZ135" s="84"/>
      <c r="CA135" s="84"/>
      <c r="CB135" s="84"/>
      <c r="CC135" s="84"/>
      <c r="CD135" s="84"/>
      <c r="CE135" s="84"/>
      <c r="CF135" s="84"/>
      <c r="CG135" s="92"/>
      <c r="CI135" s="135">
        <f>$O$60</f>
        <v>34</v>
      </c>
      <c r="CJ135" s="135" t="str">
        <f t="shared" si="0"/>
        <v>Iniciados</v>
      </c>
      <c r="CK135" s="135" t="str">
        <f t="shared" si="1"/>
        <v>Singulares</v>
      </c>
      <c r="CL135" s="135" t="str">
        <f t="shared" si="2"/>
        <v>Femininos</v>
      </c>
      <c r="CM135" s="135" t="str">
        <f>"Disp 5º-8º - Jogo2"</f>
        <v>Disp 5º-8º - Jogo2</v>
      </c>
      <c r="CN135" s="135" t="str">
        <f>$I$58</f>
        <v>Vencido do jogo 27</v>
      </c>
      <c r="CO135" s="135" t="str">
        <f>$I$62</f>
        <v>Vencido do jogo 28</v>
      </c>
    </row>
    <row r="136" spans="52:93" ht="18.75" customHeight="1">
      <c r="AZ136" s="88"/>
      <c r="BA136" s="73" t="s">
        <v>34</v>
      </c>
      <c r="BB136" s="73"/>
      <c r="BC136" s="73"/>
      <c r="BD136" s="73"/>
      <c r="BE136" s="73"/>
      <c r="BF136" s="73"/>
      <c r="BG136" s="73"/>
      <c r="BH136" s="93"/>
      <c r="BI136" s="93"/>
      <c r="BJ136" s="93"/>
      <c r="BK136" s="93"/>
      <c r="BL136" s="93"/>
      <c r="BM136" s="93"/>
      <c r="BN136" s="93"/>
      <c r="BO136" s="93"/>
      <c r="BP136" s="93"/>
      <c r="BQ136" s="93"/>
      <c r="BR136" s="84"/>
      <c r="BS136" s="84"/>
      <c r="BT136" s="84"/>
      <c r="BU136" s="84"/>
      <c r="BV136" s="84"/>
      <c r="BW136" s="84"/>
      <c r="BX136" s="84"/>
      <c r="BY136" s="84"/>
      <c r="BZ136" s="84"/>
      <c r="CA136" s="84"/>
      <c r="CB136" s="84"/>
      <c r="CC136" s="84"/>
      <c r="CD136" s="84"/>
      <c r="CE136" s="84"/>
      <c r="CF136" s="84"/>
      <c r="CG136" s="92"/>
      <c r="CI136" s="135">
        <f>$V$56</f>
        <v>35</v>
      </c>
      <c r="CJ136" s="135" t="str">
        <f t="shared" si="0"/>
        <v>Iniciados</v>
      </c>
      <c r="CK136" s="135" t="str">
        <f t="shared" si="1"/>
        <v>Singulares</v>
      </c>
      <c r="CL136" s="135" t="str">
        <f t="shared" si="2"/>
        <v>Femininos</v>
      </c>
      <c r="CM136" s="135" t="str">
        <f>"Jogo 7º/8º lugar"</f>
        <v>Jogo 7º/8º lugar</v>
      </c>
      <c r="CN136" s="135" t="str">
        <f>$P$54</f>
        <v>Disputa 7º/8º  Jogador1</v>
      </c>
      <c r="CO136" s="135" t="str">
        <f>$P$58</f>
        <v>Disputa 7º/8º  Jogador2</v>
      </c>
    </row>
    <row r="137" spans="52:93" ht="15" customHeight="1">
      <c r="AZ137" s="88"/>
      <c r="BA137" s="346" t="str">
        <f>IF($BA$131="","",$BA$131)</f>
        <v>B2</v>
      </c>
      <c r="BB137" s="347"/>
      <c r="BC137" s="74"/>
      <c r="BD137" s="75"/>
      <c r="BE137" s="75"/>
      <c r="BF137" s="75"/>
      <c r="BG137" s="75"/>
      <c r="BH137" s="75"/>
      <c r="BI137" s="75"/>
      <c r="BJ137" s="75"/>
      <c r="BK137" s="75"/>
      <c r="BL137" s="76"/>
      <c r="BM137" s="178"/>
      <c r="BN137" s="180"/>
      <c r="BO137" s="77"/>
      <c r="BP137" s="77"/>
      <c r="BQ137" s="77"/>
      <c r="BR137" s="78"/>
      <c r="BS137" s="75"/>
      <c r="BT137" s="75"/>
      <c r="BU137" s="75"/>
      <c r="BV137" s="75"/>
      <c r="BW137" s="178"/>
      <c r="BX137" s="76"/>
      <c r="BY137" s="75"/>
      <c r="BZ137" s="75"/>
      <c r="CA137" s="75"/>
      <c r="CB137" s="75"/>
      <c r="CC137" s="75"/>
      <c r="CD137" s="75"/>
      <c r="CE137" s="75"/>
      <c r="CF137" s="75"/>
      <c r="CG137" s="92"/>
      <c r="CI137" s="136">
        <f>$W$56</f>
        <v>36</v>
      </c>
      <c r="CJ137" s="136" t="str">
        <f t="shared" si="0"/>
        <v>Iniciados</v>
      </c>
      <c r="CK137" s="136" t="str">
        <f t="shared" si="1"/>
        <v>Singulares</v>
      </c>
      <c r="CL137" s="136" t="str">
        <f t="shared" si="2"/>
        <v>Femininos</v>
      </c>
      <c r="CM137" s="136" t="str">
        <f>"Jogo 5º/6º lugar"</f>
        <v>Jogo 5º/6º lugar</v>
      </c>
      <c r="CN137" s="136" t="str">
        <f>$P$52</f>
        <v>Disputa 5º/6º Jogador1</v>
      </c>
      <c r="CO137" s="136" t="str">
        <f>$P$60</f>
        <v>Disputa 5º/6º Jogador2</v>
      </c>
    </row>
    <row r="138" spans="52:93" ht="15" customHeight="1">
      <c r="AZ138" s="88"/>
      <c r="BA138" s="348"/>
      <c r="BB138" s="349"/>
      <c r="BC138" s="79"/>
      <c r="BD138" s="80"/>
      <c r="BE138" s="80"/>
      <c r="BF138" s="80"/>
      <c r="BG138" s="80"/>
      <c r="BH138" s="80"/>
      <c r="BI138" s="80"/>
      <c r="BJ138" s="80"/>
      <c r="BK138" s="80"/>
      <c r="BL138" s="81"/>
      <c r="BM138" s="179"/>
      <c r="BN138" s="181"/>
      <c r="BO138" s="82"/>
      <c r="BP138" s="82"/>
      <c r="BQ138" s="82"/>
      <c r="BR138" s="83"/>
      <c r="BS138" s="80"/>
      <c r="BT138" s="80"/>
      <c r="BU138" s="80"/>
      <c r="BV138" s="80"/>
      <c r="BW138" s="179"/>
      <c r="BX138" s="81"/>
      <c r="BY138" s="80"/>
      <c r="BZ138" s="80"/>
      <c r="CA138" s="80"/>
      <c r="CB138" s="80"/>
      <c r="CC138" s="80"/>
      <c r="CD138" s="80"/>
      <c r="CE138" s="80"/>
      <c r="CF138" s="80"/>
      <c r="CG138" s="98" t="s">
        <v>1</v>
      </c>
      <c r="CI138" s="136">
        <f>$O$70</f>
        <v>37</v>
      </c>
      <c r="CJ138" s="136" t="str">
        <f t="shared" si="0"/>
        <v>Iniciados</v>
      </c>
      <c r="CK138" s="136" t="str">
        <f t="shared" si="1"/>
        <v>Singulares</v>
      </c>
      <c r="CL138" s="136" t="str">
        <f t="shared" si="2"/>
        <v>Femininos</v>
      </c>
      <c r="CM138" s="136" t="str">
        <f>"Disp 9º-12º - Jogo1"</f>
        <v>Disp 9º-12º - Jogo1</v>
      </c>
      <c r="CN138" s="136" t="str">
        <f>$I$68</f>
        <v>3º  do Grupo A</v>
      </c>
      <c r="CO138" s="136" t="str">
        <f>$I$72</f>
        <v>3º  do Grupo B</v>
      </c>
    </row>
    <row r="139" spans="52:93" ht="15" customHeight="1">
      <c r="AZ139" s="88"/>
      <c r="BA139" s="346" t="str">
        <f>IF($BA$133="","",$BA$133)</f>
        <v>B3</v>
      </c>
      <c r="BB139" s="347"/>
      <c r="BC139" s="74"/>
      <c r="BD139" s="75"/>
      <c r="BE139" s="75"/>
      <c r="BF139" s="75"/>
      <c r="BG139" s="75"/>
      <c r="BH139" s="75"/>
      <c r="BI139" s="75"/>
      <c r="BJ139" s="75"/>
      <c r="BK139" s="75"/>
      <c r="BL139" s="76"/>
      <c r="BM139" s="178"/>
      <c r="BN139" s="180"/>
      <c r="BO139" s="77"/>
      <c r="BP139" s="77"/>
      <c r="BQ139" s="77"/>
      <c r="BR139" s="78"/>
      <c r="BS139" s="75"/>
      <c r="BT139" s="75"/>
      <c r="BU139" s="75"/>
      <c r="BV139" s="75"/>
      <c r="BW139" s="178"/>
      <c r="BX139" s="76"/>
      <c r="BY139" s="75"/>
      <c r="BZ139" s="75"/>
      <c r="CA139" s="75"/>
      <c r="CB139" s="75"/>
      <c r="CC139" s="75"/>
      <c r="CD139" s="75"/>
      <c r="CE139" s="75"/>
      <c r="CF139" s="75"/>
      <c r="CG139" s="99"/>
      <c r="CI139" s="136">
        <f>$O$78</f>
        <v>38</v>
      </c>
      <c r="CJ139" s="136" t="str">
        <f t="shared" si="0"/>
        <v>Iniciados</v>
      </c>
      <c r="CK139" s="136" t="str">
        <f t="shared" si="1"/>
        <v>Singulares</v>
      </c>
      <c r="CL139" s="136" t="str">
        <f t="shared" si="2"/>
        <v>Femininos</v>
      </c>
      <c r="CM139" s="136" t="str">
        <f>"Disp 9º-12º - Jogo2"</f>
        <v>Disp 9º-12º - Jogo2</v>
      </c>
      <c r="CN139" s="136" t="str">
        <f>$I$76</f>
        <v>3º  do Grupo C</v>
      </c>
      <c r="CO139" s="136" t="str">
        <f>$I$80</f>
        <v>3º  do Grupo D</v>
      </c>
    </row>
    <row r="140" spans="52:93" ht="15" customHeight="1">
      <c r="AZ140" s="88"/>
      <c r="BA140" s="348"/>
      <c r="BB140" s="349"/>
      <c r="BC140" s="79"/>
      <c r="BD140" s="80"/>
      <c r="BE140" s="80"/>
      <c r="BF140" s="80"/>
      <c r="BG140" s="80"/>
      <c r="BH140" s="80"/>
      <c r="BI140" s="80"/>
      <c r="BJ140" s="80"/>
      <c r="BK140" s="80"/>
      <c r="BL140" s="81"/>
      <c r="BM140" s="179"/>
      <c r="BN140" s="181"/>
      <c r="BO140" s="82"/>
      <c r="BP140" s="82"/>
      <c r="BQ140" s="82"/>
      <c r="BR140" s="83"/>
      <c r="BS140" s="80"/>
      <c r="BT140" s="80"/>
      <c r="BU140" s="80"/>
      <c r="BV140" s="80"/>
      <c r="BW140" s="179"/>
      <c r="BX140" s="81"/>
      <c r="BY140" s="80"/>
      <c r="BZ140" s="80"/>
      <c r="CA140" s="80"/>
      <c r="CB140" s="80"/>
      <c r="CC140" s="80"/>
      <c r="CD140" s="80"/>
      <c r="CE140" s="80"/>
      <c r="CF140" s="80"/>
      <c r="CG140" s="92"/>
      <c r="CI140" s="136">
        <f>$V$74</f>
        <v>39</v>
      </c>
      <c r="CJ140" s="136" t="str">
        <f t="shared" si="0"/>
        <v>Iniciados</v>
      </c>
      <c r="CK140" s="136" t="str">
        <f t="shared" si="1"/>
        <v>Singulares</v>
      </c>
      <c r="CL140" s="136" t="str">
        <f t="shared" si="2"/>
        <v>Femininos</v>
      </c>
      <c r="CM140" s="136" t="str">
        <f>"Jogo 11º/12º lugar"</f>
        <v>Jogo 11º/12º lugar</v>
      </c>
      <c r="CN140" s="136" t="str">
        <f>$P$72</f>
        <v>Disputa 11º/12º  Jogador1</v>
      </c>
      <c r="CO140" s="136" t="str">
        <f>$P$76</f>
        <v>Disputa 11º/12º  Jogador2</v>
      </c>
    </row>
    <row r="141" spans="52:93" ht="12.75" customHeight="1">
      <c r="AZ141" s="88"/>
      <c r="BA141" s="84"/>
      <c r="BB141" s="84"/>
      <c r="BC141" s="100">
        <v>1</v>
      </c>
      <c r="BD141" s="100">
        <v>2</v>
      </c>
      <c r="BE141" s="100">
        <v>3</v>
      </c>
      <c r="BF141" s="100">
        <v>4</v>
      </c>
      <c r="BG141" s="100">
        <v>5</v>
      </c>
      <c r="BH141" s="100">
        <v>6</v>
      </c>
      <c r="BI141" s="100">
        <v>7</v>
      </c>
      <c r="BJ141" s="100">
        <v>8</v>
      </c>
      <c r="BK141" s="100">
        <v>9</v>
      </c>
      <c r="BL141" s="100">
        <v>10</v>
      </c>
      <c r="BM141" s="100">
        <v>11</v>
      </c>
      <c r="BN141" s="100">
        <v>12</v>
      </c>
      <c r="BO141" s="100">
        <v>13</v>
      </c>
      <c r="BP141" s="100">
        <v>14</v>
      </c>
      <c r="BQ141" s="100">
        <v>15</v>
      </c>
      <c r="BR141" s="100">
        <v>16</v>
      </c>
      <c r="BS141" s="100">
        <v>17</v>
      </c>
      <c r="BT141" s="100">
        <v>18</v>
      </c>
      <c r="BU141" s="100">
        <v>19</v>
      </c>
      <c r="BV141" s="100">
        <v>20</v>
      </c>
      <c r="BW141" s="100">
        <v>21</v>
      </c>
      <c r="BX141" s="100">
        <v>22</v>
      </c>
      <c r="BY141" s="100">
        <v>23</v>
      </c>
      <c r="BZ141" s="100">
        <v>24</v>
      </c>
      <c r="CA141" s="100">
        <v>25</v>
      </c>
      <c r="CB141" s="100">
        <v>26</v>
      </c>
      <c r="CC141" s="100">
        <v>27</v>
      </c>
      <c r="CD141" s="100">
        <v>28</v>
      </c>
      <c r="CE141" s="100">
        <v>29</v>
      </c>
      <c r="CF141" s="100">
        <v>30</v>
      </c>
      <c r="CG141" s="101"/>
      <c r="CI141" s="136">
        <f>$W$74</f>
        <v>40</v>
      </c>
      <c r="CJ141" s="136" t="str">
        <f t="shared" si="0"/>
        <v>Iniciados</v>
      </c>
      <c r="CK141" s="136" t="str">
        <f t="shared" si="1"/>
        <v>Singulares</v>
      </c>
      <c r="CL141" s="136" t="str">
        <f t="shared" si="2"/>
        <v>Femininos</v>
      </c>
      <c r="CM141" s="136" t="str">
        <f>"Jogo 9º/10º lugar"</f>
        <v>Jogo 9º/10º lugar</v>
      </c>
      <c r="CN141" s="136" t="str">
        <f>$P$70</f>
        <v>Disputa 9º/10º Jogador1</v>
      </c>
      <c r="CO141" s="136" t="str">
        <f>$P$78</f>
        <v>Disputa 9º/10º Jogador2</v>
      </c>
    </row>
    <row r="142" spans="52:93" ht="15" customHeight="1">
      <c r="AZ142" s="88"/>
      <c r="BA142" s="346" t="str">
        <f>IF($BA$131="","",$BA$131)</f>
        <v>B2</v>
      </c>
      <c r="BB142" s="347"/>
      <c r="BC142" s="74"/>
      <c r="BD142" s="75"/>
      <c r="BE142" s="75"/>
      <c r="BF142" s="75"/>
      <c r="BG142" s="75"/>
      <c r="BH142" s="75"/>
      <c r="BI142" s="75"/>
      <c r="BJ142" s="75"/>
      <c r="BK142" s="75"/>
      <c r="BL142" s="76"/>
      <c r="BM142" s="178"/>
      <c r="BN142" s="180"/>
      <c r="BO142" s="77"/>
      <c r="BP142" s="77"/>
      <c r="BQ142" s="77"/>
      <c r="BR142" s="78"/>
      <c r="BS142" s="75"/>
      <c r="BT142" s="75"/>
      <c r="BU142" s="75"/>
      <c r="BV142" s="75"/>
      <c r="BW142" s="178"/>
      <c r="BX142" s="76"/>
      <c r="BY142" s="75"/>
      <c r="BZ142" s="75"/>
      <c r="CA142" s="75"/>
      <c r="CB142" s="75"/>
      <c r="CC142" s="75"/>
      <c r="CD142" s="75"/>
      <c r="CE142" s="75"/>
      <c r="CF142" s="75"/>
      <c r="CG142" s="92"/>
      <c r="CI142" s="136">
        <f>$O$88</f>
        <v>41</v>
      </c>
      <c r="CJ142" s="136" t="str">
        <f t="shared" si="0"/>
        <v>Iniciados</v>
      </c>
      <c r="CK142" s="136" t="str">
        <f t="shared" si="1"/>
        <v>Singulares</v>
      </c>
      <c r="CL142" s="136" t="str">
        <f t="shared" si="2"/>
        <v>Femininos</v>
      </c>
      <c r="CM142" s="136" t="str">
        <f>"Disp 13º-16º - Jogo1"</f>
        <v>Disp 13º-16º - Jogo1</v>
      </c>
      <c r="CN142" s="136" t="str">
        <f>$I$86</f>
        <v>4º  do Grupo A</v>
      </c>
      <c r="CO142" s="136" t="str">
        <f>$I$90</f>
        <v>4º  do Grupo B</v>
      </c>
    </row>
    <row r="143" spans="52:93" ht="15" customHeight="1">
      <c r="AZ143" s="88"/>
      <c r="BA143" s="348"/>
      <c r="BB143" s="349"/>
      <c r="BC143" s="79"/>
      <c r="BD143" s="80"/>
      <c r="BE143" s="80"/>
      <c r="BF143" s="80"/>
      <c r="BG143" s="80"/>
      <c r="BH143" s="80"/>
      <c r="BI143" s="80"/>
      <c r="BJ143" s="80"/>
      <c r="BK143" s="80"/>
      <c r="BL143" s="81"/>
      <c r="BM143" s="179"/>
      <c r="BN143" s="181"/>
      <c r="BO143" s="82"/>
      <c r="BP143" s="82"/>
      <c r="BQ143" s="82"/>
      <c r="BR143" s="83"/>
      <c r="BS143" s="80"/>
      <c r="BT143" s="80"/>
      <c r="BU143" s="80"/>
      <c r="BV143" s="80"/>
      <c r="BW143" s="179"/>
      <c r="BX143" s="81"/>
      <c r="BY143" s="80"/>
      <c r="BZ143" s="80"/>
      <c r="CA143" s="80"/>
      <c r="CB143" s="80"/>
      <c r="CC143" s="80"/>
      <c r="CD143" s="80"/>
      <c r="CE143" s="80"/>
      <c r="CF143" s="80"/>
      <c r="CG143" s="92"/>
      <c r="CI143" s="136">
        <f>$O$96</f>
        <v>42</v>
      </c>
      <c r="CJ143" s="136" t="str">
        <f t="shared" si="0"/>
        <v>Iniciados</v>
      </c>
      <c r="CK143" s="136" t="str">
        <f t="shared" si="1"/>
        <v>Singulares</v>
      </c>
      <c r="CL143" s="136" t="str">
        <f t="shared" si="2"/>
        <v>Femininos</v>
      </c>
      <c r="CM143" s="136" t="str">
        <f>"Disp 13º-16º - Jogo2"</f>
        <v>Disp 13º-16º - Jogo2</v>
      </c>
      <c r="CN143" s="136" t="str">
        <f>$I$94</f>
        <v>4º  do Grupo C</v>
      </c>
      <c r="CO143" s="136" t="str">
        <f>$I$98</f>
        <v>4º  do Grupo D</v>
      </c>
    </row>
    <row r="144" spans="52:93" ht="15" customHeight="1">
      <c r="AZ144" s="88"/>
      <c r="BA144" s="346" t="str">
        <f>IF($BA$133="","",$BA$133)</f>
        <v>B3</v>
      </c>
      <c r="BB144" s="347"/>
      <c r="BC144" s="74"/>
      <c r="BD144" s="75"/>
      <c r="BE144" s="75"/>
      <c r="BF144" s="75"/>
      <c r="BG144" s="75"/>
      <c r="BH144" s="75"/>
      <c r="BI144" s="75"/>
      <c r="BJ144" s="75"/>
      <c r="BK144" s="75"/>
      <c r="BL144" s="76"/>
      <c r="BM144" s="178"/>
      <c r="BN144" s="180"/>
      <c r="BO144" s="77"/>
      <c r="BP144" s="77"/>
      <c r="BQ144" s="77"/>
      <c r="BR144" s="78"/>
      <c r="BS144" s="75"/>
      <c r="BT144" s="75"/>
      <c r="BU144" s="75"/>
      <c r="BV144" s="75"/>
      <c r="BW144" s="178"/>
      <c r="BX144" s="76"/>
      <c r="BY144" s="75"/>
      <c r="BZ144" s="75"/>
      <c r="CA144" s="75"/>
      <c r="CB144" s="75"/>
      <c r="CC144" s="75"/>
      <c r="CD144" s="75"/>
      <c r="CE144" s="75"/>
      <c r="CF144" s="75"/>
      <c r="CG144" s="98" t="s">
        <v>2</v>
      </c>
      <c r="CI144" s="136">
        <f>$V$92</f>
        <v>43</v>
      </c>
      <c r="CJ144" s="136" t="str">
        <f t="shared" si="0"/>
        <v>Iniciados</v>
      </c>
      <c r="CK144" s="136" t="str">
        <f t="shared" si="1"/>
        <v>Singulares</v>
      </c>
      <c r="CL144" s="136" t="str">
        <f t="shared" si="2"/>
        <v>Femininos</v>
      </c>
      <c r="CM144" s="136" t="str">
        <f>"Jogo 15º/16º lugar"</f>
        <v>Jogo 15º/16º lugar</v>
      </c>
      <c r="CN144" s="136" t="str">
        <f>$P$90</f>
        <v>Disputa 15º/16º  Jogador1</v>
      </c>
      <c r="CO144" s="136" t="str">
        <f>$P$94</f>
        <v>Disputa 15º/16º  Jogador2</v>
      </c>
    </row>
    <row r="145" spans="52:93" ht="15" customHeight="1">
      <c r="AZ145" s="88"/>
      <c r="BA145" s="348"/>
      <c r="BB145" s="349"/>
      <c r="BC145" s="79"/>
      <c r="BD145" s="80"/>
      <c r="BE145" s="80"/>
      <c r="BF145" s="80"/>
      <c r="BG145" s="80"/>
      <c r="BH145" s="80"/>
      <c r="BI145" s="80"/>
      <c r="BJ145" s="80"/>
      <c r="BK145" s="80"/>
      <c r="BL145" s="81"/>
      <c r="BM145" s="179"/>
      <c r="BN145" s="181"/>
      <c r="BO145" s="82"/>
      <c r="BP145" s="82"/>
      <c r="BQ145" s="82"/>
      <c r="BR145" s="83"/>
      <c r="BS145" s="80"/>
      <c r="BT145" s="80"/>
      <c r="BU145" s="80"/>
      <c r="BV145" s="80"/>
      <c r="BW145" s="179"/>
      <c r="BX145" s="81"/>
      <c r="BY145" s="80"/>
      <c r="BZ145" s="80"/>
      <c r="CA145" s="80"/>
      <c r="CB145" s="80"/>
      <c r="CC145" s="80"/>
      <c r="CD145" s="80"/>
      <c r="CE145" s="80"/>
      <c r="CF145" s="80"/>
      <c r="CG145" s="92"/>
      <c r="CI145" s="136">
        <f>$W$92</f>
        <v>44</v>
      </c>
      <c r="CJ145" s="136" t="str">
        <f t="shared" si="0"/>
        <v>Iniciados</v>
      </c>
      <c r="CK145" s="136" t="str">
        <f t="shared" si="1"/>
        <v>Singulares</v>
      </c>
      <c r="CL145" s="136" t="str">
        <f t="shared" si="2"/>
        <v>Femininos</v>
      </c>
      <c r="CM145" s="136" t="str">
        <f>"Jogo 13º/14º lugar"</f>
        <v>Jogo 13º/14º lugar</v>
      </c>
      <c r="CN145" s="136" t="str">
        <f>$P$88</f>
        <v>Disputa 13º/14º Jogador1</v>
      </c>
      <c r="CO145" s="136" t="str">
        <f>$P$96</f>
        <v>Disputa 13º/14º Jogador2</v>
      </c>
    </row>
    <row r="146" spans="52:93" ht="12.75" customHeight="1">
      <c r="AZ146" s="88"/>
      <c r="BA146" s="84"/>
      <c r="BB146" s="84"/>
      <c r="BC146" s="100">
        <v>1</v>
      </c>
      <c r="BD146" s="100">
        <v>2</v>
      </c>
      <c r="BE146" s="100">
        <v>3</v>
      </c>
      <c r="BF146" s="100">
        <v>4</v>
      </c>
      <c r="BG146" s="100">
        <v>5</v>
      </c>
      <c r="BH146" s="100">
        <v>6</v>
      </c>
      <c r="BI146" s="100">
        <v>7</v>
      </c>
      <c r="BJ146" s="100">
        <v>8</v>
      </c>
      <c r="BK146" s="100">
        <v>9</v>
      </c>
      <c r="BL146" s="100">
        <v>10</v>
      </c>
      <c r="BM146" s="100">
        <v>11</v>
      </c>
      <c r="BN146" s="100">
        <v>12</v>
      </c>
      <c r="BO146" s="100">
        <v>13</v>
      </c>
      <c r="BP146" s="100">
        <v>14</v>
      </c>
      <c r="BQ146" s="100">
        <v>15</v>
      </c>
      <c r="BR146" s="100">
        <v>16</v>
      </c>
      <c r="BS146" s="100">
        <v>17</v>
      </c>
      <c r="BT146" s="100">
        <v>18</v>
      </c>
      <c r="BU146" s="100">
        <v>19</v>
      </c>
      <c r="BV146" s="100">
        <v>20</v>
      </c>
      <c r="BW146" s="100">
        <v>21</v>
      </c>
      <c r="BX146" s="100">
        <v>22</v>
      </c>
      <c r="BY146" s="100">
        <v>23</v>
      </c>
      <c r="BZ146" s="100">
        <v>24</v>
      </c>
      <c r="CA146" s="100">
        <v>25</v>
      </c>
      <c r="CB146" s="100">
        <v>26</v>
      </c>
      <c r="CC146" s="100">
        <v>27</v>
      </c>
      <c r="CD146" s="100">
        <v>28</v>
      </c>
      <c r="CE146" s="100">
        <v>29</v>
      </c>
      <c r="CF146" s="100">
        <v>30</v>
      </c>
      <c r="CG146" s="101"/>
    </row>
    <row r="147" spans="52:93" ht="15" customHeight="1">
      <c r="AZ147" s="88"/>
      <c r="BA147" s="346" t="str">
        <f>IF($BA$131="","",$BA$131)</f>
        <v>B2</v>
      </c>
      <c r="BB147" s="347"/>
      <c r="BC147" s="74"/>
      <c r="BD147" s="75"/>
      <c r="BE147" s="75"/>
      <c r="BF147" s="75"/>
      <c r="BG147" s="75"/>
      <c r="BH147" s="75"/>
      <c r="BI147" s="75"/>
      <c r="BJ147" s="75"/>
      <c r="BK147" s="75"/>
      <c r="BL147" s="76"/>
      <c r="BM147" s="178"/>
      <c r="BN147" s="180"/>
      <c r="BO147" s="77"/>
      <c r="BP147" s="77"/>
      <c r="BQ147" s="77"/>
      <c r="BR147" s="78"/>
      <c r="BS147" s="75"/>
      <c r="BT147" s="75"/>
      <c r="BU147" s="75"/>
      <c r="BV147" s="75"/>
      <c r="BW147" s="178"/>
      <c r="BX147" s="76"/>
      <c r="BY147" s="75"/>
      <c r="BZ147" s="75"/>
      <c r="CA147" s="75"/>
      <c r="CB147" s="75"/>
      <c r="CC147" s="75"/>
      <c r="CD147" s="75"/>
      <c r="CE147" s="75"/>
      <c r="CF147" s="75"/>
      <c r="CG147" s="92"/>
    </row>
    <row r="148" spans="52:93" ht="15" customHeight="1">
      <c r="AZ148" s="88"/>
      <c r="BA148" s="348"/>
      <c r="BB148" s="349"/>
      <c r="BC148" s="79"/>
      <c r="BD148" s="80"/>
      <c r="BE148" s="80"/>
      <c r="BF148" s="80"/>
      <c r="BG148" s="80"/>
      <c r="BH148" s="80"/>
      <c r="BI148" s="80"/>
      <c r="BJ148" s="80"/>
      <c r="BK148" s="80"/>
      <c r="BL148" s="81"/>
      <c r="BM148" s="179"/>
      <c r="BN148" s="181"/>
      <c r="BO148" s="82"/>
      <c r="BP148" s="82"/>
      <c r="BQ148" s="82"/>
      <c r="BR148" s="83"/>
      <c r="BS148" s="80"/>
      <c r="BT148" s="80"/>
      <c r="BU148" s="80"/>
      <c r="BV148" s="80"/>
      <c r="BW148" s="179"/>
      <c r="BX148" s="81"/>
      <c r="BY148" s="80"/>
      <c r="BZ148" s="80"/>
      <c r="CA148" s="80"/>
      <c r="CB148" s="80"/>
      <c r="CC148" s="80"/>
      <c r="CD148" s="80"/>
      <c r="CE148" s="80"/>
      <c r="CF148" s="80"/>
      <c r="CG148" s="92"/>
    </row>
    <row r="149" spans="52:93" ht="15" customHeight="1">
      <c r="AZ149" s="88"/>
      <c r="BA149" s="346" t="str">
        <f>IF($BA$133="","",$BA$133)</f>
        <v>B3</v>
      </c>
      <c r="BB149" s="347"/>
      <c r="BC149" s="74"/>
      <c r="BD149" s="75"/>
      <c r="BE149" s="75"/>
      <c r="BF149" s="75"/>
      <c r="BG149" s="75"/>
      <c r="BH149" s="75"/>
      <c r="BI149" s="75"/>
      <c r="BJ149" s="75"/>
      <c r="BK149" s="75"/>
      <c r="BL149" s="76"/>
      <c r="BM149" s="178"/>
      <c r="BN149" s="180"/>
      <c r="BO149" s="77"/>
      <c r="BP149" s="77"/>
      <c r="BQ149" s="77"/>
      <c r="BR149" s="78"/>
      <c r="BS149" s="75"/>
      <c r="BT149" s="75"/>
      <c r="BU149" s="75"/>
      <c r="BV149" s="75"/>
      <c r="BW149" s="178"/>
      <c r="BX149" s="76"/>
      <c r="BY149" s="75"/>
      <c r="BZ149" s="75"/>
      <c r="CA149" s="75"/>
      <c r="CB149" s="75"/>
      <c r="CC149" s="75"/>
      <c r="CD149" s="75"/>
      <c r="CE149" s="75"/>
      <c r="CF149" s="75"/>
      <c r="CG149" s="98" t="s">
        <v>3</v>
      </c>
    </row>
    <row r="150" spans="52:93" ht="15" customHeight="1">
      <c r="AZ150" s="88"/>
      <c r="BA150" s="348"/>
      <c r="BB150" s="349"/>
      <c r="BC150" s="79"/>
      <c r="BD150" s="80"/>
      <c r="BE150" s="80"/>
      <c r="BF150" s="80"/>
      <c r="BG150" s="80"/>
      <c r="BH150" s="80"/>
      <c r="BI150" s="80"/>
      <c r="BJ150" s="80"/>
      <c r="BK150" s="80"/>
      <c r="BL150" s="81"/>
      <c r="BM150" s="179"/>
      <c r="BN150" s="181"/>
      <c r="BO150" s="82"/>
      <c r="BP150" s="82"/>
      <c r="BQ150" s="82"/>
      <c r="BR150" s="83"/>
      <c r="BS150" s="80"/>
      <c r="BT150" s="80"/>
      <c r="BU150" s="80"/>
      <c r="BV150" s="80"/>
      <c r="BW150" s="179"/>
      <c r="BX150" s="81"/>
      <c r="BY150" s="80"/>
      <c r="BZ150" s="80"/>
      <c r="CA150" s="80"/>
      <c r="CB150" s="80"/>
      <c r="CC150" s="80"/>
      <c r="CD150" s="80"/>
      <c r="CE150" s="80"/>
      <c r="CF150" s="80"/>
      <c r="CG150" s="92"/>
    </row>
    <row r="151" spans="52:93" ht="44.25" customHeight="1">
      <c r="AZ151" s="102"/>
      <c r="BA151" s="103" t="s">
        <v>35</v>
      </c>
      <c r="BB151" s="104"/>
      <c r="BC151" s="105"/>
      <c r="BD151" s="105"/>
      <c r="BE151" s="105"/>
      <c r="BF151" s="105"/>
      <c r="BG151" s="105"/>
      <c r="BH151" s="105"/>
      <c r="BI151" s="105"/>
      <c r="BJ151" s="105"/>
      <c r="BK151" s="105"/>
      <c r="BL151" s="105"/>
      <c r="BM151" s="105"/>
      <c r="BN151" s="105"/>
      <c r="BO151" s="105"/>
      <c r="BP151" s="105"/>
      <c r="BQ151" s="105"/>
      <c r="BR151" s="85"/>
      <c r="BS151" s="85"/>
      <c r="BT151" s="85"/>
      <c r="BU151" s="85"/>
      <c r="BV151" s="85"/>
      <c r="BW151" s="85"/>
      <c r="BX151" s="85"/>
      <c r="BY151" s="85"/>
      <c r="BZ151" s="85"/>
      <c r="CA151" s="85"/>
      <c r="CB151" s="85"/>
      <c r="CC151" s="85"/>
      <c r="CD151" s="85"/>
      <c r="CE151" s="85"/>
      <c r="CF151" s="85"/>
      <c r="CG151" s="81"/>
    </row>
    <row r="152" spans="52:93" ht="26.25" customHeight="1">
      <c r="AZ152" s="345"/>
      <c r="BA152" s="345"/>
      <c r="BB152" s="345"/>
      <c r="BC152" s="345"/>
      <c r="BD152" s="345"/>
      <c r="BE152" s="345"/>
      <c r="BF152" s="345"/>
      <c r="BG152" s="345"/>
      <c r="BH152" s="345"/>
      <c r="BI152" s="345"/>
      <c r="BJ152" s="345"/>
      <c r="BK152" s="345"/>
      <c r="BL152" s="345"/>
      <c r="BM152" s="345"/>
      <c r="BN152" s="345"/>
      <c r="BO152" s="345"/>
      <c r="BP152" s="345"/>
      <c r="BQ152" s="345"/>
      <c r="BR152" s="345"/>
      <c r="BS152" s="345"/>
      <c r="BT152" s="345"/>
      <c r="BU152" s="345"/>
      <c r="BV152" s="345"/>
      <c r="BW152" s="345"/>
      <c r="BX152" s="345"/>
      <c r="BY152" s="345"/>
      <c r="BZ152" s="345"/>
      <c r="CA152" s="345"/>
      <c r="CB152" s="345"/>
      <c r="CC152" s="345"/>
      <c r="CD152" s="345"/>
      <c r="CE152" s="345"/>
      <c r="CF152" s="345"/>
      <c r="CG152" s="345"/>
    </row>
    <row r="153" spans="52:93" ht="22.5" customHeight="1"/>
    <row r="154" spans="52:93" ht="22.5" customHeight="1"/>
    <row r="155" spans="52:93" ht="22.5" customHeight="1"/>
  </sheetData>
  <sheetProtection sheet="1" objects="1" scenarios="1" formatCells="0" formatColumns="0" formatRows="0" autoFilter="0"/>
  <mergeCells count="304">
    <mergeCell ref="C2:F2"/>
    <mergeCell ref="H2:X2"/>
    <mergeCell ref="C3:F3"/>
    <mergeCell ref="H3:O3"/>
    <mergeCell ref="Q3:X3"/>
    <mergeCell ref="C5:I5"/>
    <mergeCell ref="J5:P5"/>
    <mergeCell ref="Q5:W5"/>
    <mergeCell ref="X5:AD5"/>
    <mergeCell ref="AG5:AJ7"/>
    <mergeCell ref="D6:F6"/>
    <mergeCell ref="K6:M6"/>
    <mergeCell ref="R6:T6"/>
    <mergeCell ref="Y6:AA6"/>
    <mergeCell ref="D7:F7"/>
    <mergeCell ref="K7:M7"/>
    <mergeCell ref="R7:T7"/>
    <mergeCell ref="Y7:AA7"/>
    <mergeCell ref="AO9:AO10"/>
    <mergeCell ref="AP9:AP10"/>
    <mergeCell ref="AQ9:AQ10"/>
    <mergeCell ref="AR9:AR10"/>
    <mergeCell ref="AS9:AS10"/>
    <mergeCell ref="D10:F10"/>
    <mergeCell ref="K10:M10"/>
    <mergeCell ref="R10:T10"/>
    <mergeCell ref="Y10:AA10"/>
    <mergeCell ref="AK10:AL10"/>
    <mergeCell ref="AI8:AI9"/>
    <mergeCell ref="AJ8:AJ9"/>
    <mergeCell ref="D9:F9"/>
    <mergeCell ref="K9:M9"/>
    <mergeCell ref="R9:T9"/>
    <mergeCell ref="Y9:AA9"/>
    <mergeCell ref="D8:F8"/>
    <mergeCell ref="K8:M8"/>
    <mergeCell ref="R8:T8"/>
    <mergeCell ref="Y8:AA8"/>
    <mergeCell ref="AG8:AG9"/>
    <mergeCell ref="AH8:AH9"/>
    <mergeCell ref="D13:H13"/>
    <mergeCell ref="K13:O13"/>
    <mergeCell ref="R13:V13"/>
    <mergeCell ref="Y13:AC13"/>
    <mergeCell ref="D14:H14"/>
    <mergeCell ref="K14:O14"/>
    <mergeCell ref="R14:V14"/>
    <mergeCell ref="Y14:AC14"/>
    <mergeCell ref="C11:I11"/>
    <mergeCell ref="J11:P11"/>
    <mergeCell ref="Q11:W11"/>
    <mergeCell ref="X11:AD11"/>
    <mergeCell ref="D12:H12"/>
    <mergeCell ref="K12:O12"/>
    <mergeCell ref="R12:V12"/>
    <mergeCell ref="Y12:AC12"/>
    <mergeCell ref="D15:H15"/>
    <mergeCell ref="K15:O15"/>
    <mergeCell ref="R15:V15"/>
    <mergeCell ref="Y15:AC15"/>
    <mergeCell ref="AK15:AL15"/>
    <mergeCell ref="C16:C17"/>
    <mergeCell ref="D16:E16"/>
    <mergeCell ref="J16:J17"/>
    <mergeCell ref="K16:L16"/>
    <mergeCell ref="Q16:Q17"/>
    <mergeCell ref="R16:S16"/>
    <mergeCell ref="X16:X17"/>
    <mergeCell ref="Y16:Z16"/>
    <mergeCell ref="AE16:AE19"/>
    <mergeCell ref="D17:E17"/>
    <mergeCell ref="K17:L17"/>
    <mergeCell ref="R17:S17"/>
    <mergeCell ref="Y17:Z17"/>
    <mergeCell ref="X18:X19"/>
    <mergeCell ref="Y18:Z18"/>
    <mergeCell ref="Y19:Z19"/>
    <mergeCell ref="C20:C21"/>
    <mergeCell ref="D20:E20"/>
    <mergeCell ref="J20:J21"/>
    <mergeCell ref="K20:L20"/>
    <mergeCell ref="Q20:Q21"/>
    <mergeCell ref="R20:S20"/>
    <mergeCell ref="X20:X21"/>
    <mergeCell ref="Y20:Z20"/>
    <mergeCell ref="C18:C19"/>
    <mergeCell ref="D18:E18"/>
    <mergeCell ref="J18:J19"/>
    <mergeCell ref="K18:L18"/>
    <mergeCell ref="Q18:Q19"/>
    <mergeCell ref="R18:S18"/>
    <mergeCell ref="D19:E19"/>
    <mergeCell ref="K19:L19"/>
    <mergeCell ref="R19:S19"/>
    <mergeCell ref="AE20:AE23"/>
    <mergeCell ref="AK20:AL20"/>
    <mergeCell ref="D21:E21"/>
    <mergeCell ref="K21:L21"/>
    <mergeCell ref="R21:S21"/>
    <mergeCell ref="Y21:Z21"/>
    <mergeCell ref="X22:X23"/>
    <mergeCell ref="Y22:Z22"/>
    <mergeCell ref="Y23:Z23"/>
    <mergeCell ref="C24:C25"/>
    <mergeCell ref="D24:E24"/>
    <mergeCell ref="J24:J25"/>
    <mergeCell ref="K24:L24"/>
    <mergeCell ref="Q24:Q25"/>
    <mergeCell ref="R24:S24"/>
    <mergeCell ref="C22:C23"/>
    <mergeCell ref="D22:E22"/>
    <mergeCell ref="J22:J23"/>
    <mergeCell ref="K22:L22"/>
    <mergeCell ref="Q22:Q23"/>
    <mergeCell ref="R22:S22"/>
    <mergeCell ref="D23:E23"/>
    <mergeCell ref="K23:L23"/>
    <mergeCell ref="R23:S23"/>
    <mergeCell ref="X24:X25"/>
    <mergeCell ref="Y24:Z24"/>
    <mergeCell ref="AE24:AE27"/>
    <mergeCell ref="D25:E25"/>
    <mergeCell ref="K25:L25"/>
    <mergeCell ref="R25:S25"/>
    <mergeCell ref="Y25:Z25"/>
    <mergeCell ref="X26:X27"/>
    <mergeCell ref="Y26:Z26"/>
    <mergeCell ref="AG26:AH26"/>
    <mergeCell ref="AI26:AJ26"/>
    <mergeCell ref="D27:E27"/>
    <mergeCell ref="K27:L27"/>
    <mergeCell ref="R27:S27"/>
    <mergeCell ref="Y27:Z27"/>
    <mergeCell ref="AG27:AH28"/>
    <mergeCell ref="AI27:AJ28"/>
    <mergeCell ref="C28:P28"/>
    <mergeCell ref="C26:C27"/>
    <mergeCell ref="D26:E26"/>
    <mergeCell ref="J26:J27"/>
    <mergeCell ref="K26:L26"/>
    <mergeCell ref="Q26:Q27"/>
    <mergeCell ref="R26:S26"/>
    <mergeCell ref="C32:D32"/>
    <mergeCell ref="Y32:AC32"/>
    <mergeCell ref="AP32:AR32"/>
    <mergeCell ref="P33:S33"/>
    <mergeCell ref="Y33:AC33"/>
    <mergeCell ref="AP33:AR33"/>
    <mergeCell ref="Y29:AD30"/>
    <mergeCell ref="AG29:AJ31"/>
    <mergeCell ref="AP29:AR29"/>
    <mergeCell ref="C30:D30"/>
    <mergeCell ref="AP30:AR30"/>
    <mergeCell ref="I31:K31"/>
    <mergeCell ref="Y31:AC31"/>
    <mergeCell ref="AP31:AR31"/>
    <mergeCell ref="C36:D36"/>
    <mergeCell ref="AP36:AR36"/>
    <mergeCell ref="P37:U37"/>
    <mergeCell ref="X37:AC37"/>
    <mergeCell ref="AP37:AR37"/>
    <mergeCell ref="C38:D38"/>
    <mergeCell ref="Y38:AC38"/>
    <mergeCell ref="AP38:AR38"/>
    <mergeCell ref="C34:D34"/>
    <mergeCell ref="Y34:AC34"/>
    <mergeCell ref="AP34:AR34"/>
    <mergeCell ref="I35:K35"/>
    <mergeCell ref="P35:R35"/>
    <mergeCell ref="AP35:AR35"/>
    <mergeCell ref="C42:D42"/>
    <mergeCell ref="AP42:AR42"/>
    <mergeCell ref="I43:K43"/>
    <mergeCell ref="AP43:AR43"/>
    <mergeCell ref="C44:D44"/>
    <mergeCell ref="AP44:AR44"/>
    <mergeCell ref="I39:K39"/>
    <mergeCell ref="P39:R39"/>
    <mergeCell ref="AP39:AR39"/>
    <mergeCell ref="C40:D40"/>
    <mergeCell ref="AP40:AR40"/>
    <mergeCell ref="P41:S41"/>
    <mergeCell ref="AP41:AR41"/>
    <mergeCell ref="B49:D49"/>
    <mergeCell ref="AP49:AR49"/>
    <mergeCell ref="I50:K50"/>
    <mergeCell ref="Y50:AC50"/>
    <mergeCell ref="AP50:AR50"/>
    <mergeCell ref="Y51:AC51"/>
    <mergeCell ref="AP51:AR51"/>
    <mergeCell ref="AP45:AR45"/>
    <mergeCell ref="AP46:AR46"/>
    <mergeCell ref="AP47:AR47"/>
    <mergeCell ref="I48:W49"/>
    <mergeCell ref="Y48:AD49"/>
    <mergeCell ref="AP48:AR48"/>
    <mergeCell ref="P56:U56"/>
    <mergeCell ref="X56:AC56"/>
    <mergeCell ref="Y57:AC57"/>
    <mergeCell ref="I58:K58"/>
    <mergeCell ref="P58:R58"/>
    <mergeCell ref="P60:S60"/>
    <mergeCell ref="P52:S52"/>
    <mergeCell ref="Y52:AC52"/>
    <mergeCell ref="AP52:AR52"/>
    <mergeCell ref="Y53:AC53"/>
    <mergeCell ref="AP53:AR53"/>
    <mergeCell ref="I54:K54"/>
    <mergeCell ref="P54:R54"/>
    <mergeCell ref="AP54:AR54"/>
    <mergeCell ref="I68:K68"/>
    <mergeCell ref="Y68:AC68"/>
    <mergeCell ref="AP68:AR68"/>
    <mergeCell ref="Y69:AC69"/>
    <mergeCell ref="AP69:AR69"/>
    <mergeCell ref="P70:S70"/>
    <mergeCell ref="Y70:AC70"/>
    <mergeCell ref="AP70:AR70"/>
    <mergeCell ref="I62:K62"/>
    <mergeCell ref="AP65:AR65"/>
    <mergeCell ref="I66:W67"/>
    <mergeCell ref="Y66:AD67"/>
    <mergeCell ref="AP66:AR66"/>
    <mergeCell ref="AP67:AR67"/>
    <mergeCell ref="Y75:AC75"/>
    <mergeCell ref="I76:K76"/>
    <mergeCell ref="P76:R76"/>
    <mergeCell ref="P78:S78"/>
    <mergeCell ref="I80:K80"/>
    <mergeCell ref="AP83:AR83"/>
    <mergeCell ref="Y71:AC71"/>
    <mergeCell ref="AP71:AR71"/>
    <mergeCell ref="I72:K72"/>
    <mergeCell ref="P72:R72"/>
    <mergeCell ref="AP72:AR72"/>
    <mergeCell ref="P74:U74"/>
    <mergeCell ref="X74:AC74"/>
    <mergeCell ref="Y87:AC87"/>
    <mergeCell ref="AP87:AR87"/>
    <mergeCell ref="P88:S88"/>
    <mergeCell ref="Y88:AC88"/>
    <mergeCell ref="AP88:AR88"/>
    <mergeCell ref="Y89:AC89"/>
    <mergeCell ref="AP89:AR89"/>
    <mergeCell ref="I84:W85"/>
    <mergeCell ref="Y84:AD85"/>
    <mergeCell ref="AP84:AR84"/>
    <mergeCell ref="AP85:AR85"/>
    <mergeCell ref="I86:K86"/>
    <mergeCell ref="Y86:AC86"/>
    <mergeCell ref="AP86:AR86"/>
    <mergeCell ref="I94:K94"/>
    <mergeCell ref="P94:R94"/>
    <mergeCell ref="P96:S96"/>
    <mergeCell ref="I98:K98"/>
    <mergeCell ref="AZ100:CG100"/>
    <mergeCell ref="BA101:BM101"/>
    <mergeCell ref="I90:K90"/>
    <mergeCell ref="P90:R90"/>
    <mergeCell ref="AP90:AR90"/>
    <mergeCell ref="P92:U92"/>
    <mergeCell ref="X92:AC92"/>
    <mergeCell ref="Y93:AC93"/>
    <mergeCell ref="BA107:BB108"/>
    <mergeCell ref="BC107:BE108"/>
    <mergeCell ref="BF107:BH108"/>
    <mergeCell ref="BI107:BK108"/>
    <mergeCell ref="BN107:BP108"/>
    <mergeCell ref="BB109:BK109"/>
    <mergeCell ref="BL109:BP109"/>
    <mergeCell ref="BA104:BB104"/>
    <mergeCell ref="BA105:BB106"/>
    <mergeCell ref="BC105:BE106"/>
    <mergeCell ref="BF105:BH106"/>
    <mergeCell ref="BI105:BK106"/>
    <mergeCell ref="BN105:BP106"/>
    <mergeCell ref="AZ126:CG126"/>
    <mergeCell ref="BA127:BM127"/>
    <mergeCell ref="BA130:BB130"/>
    <mergeCell ref="BA131:BB132"/>
    <mergeCell ref="BC131:BE132"/>
    <mergeCell ref="BF131:BH132"/>
    <mergeCell ref="BI131:BK132"/>
    <mergeCell ref="BN131:BP132"/>
    <mergeCell ref="BA111:BB112"/>
    <mergeCell ref="BA113:BB114"/>
    <mergeCell ref="BA116:BB117"/>
    <mergeCell ref="BA118:BB119"/>
    <mergeCell ref="BA121:BB122"/>
    <mergeCell ref="BA123:BB124"/>
    <mergeCell ref="AZ152:CG152"/>
    <mergeCell ref="BA137:BB138"/>
    <mergeCell ref="BA139:BB140"/>
    <mergeCell ref="BA142:BB143"/>
    <mergeCell ref="BA144:BB145"/>
    <mergeCell ref="BA147:BB148"/>
    <mergeCell ref="BA149:BB150"/>
    <mergeCell ref="BA133:BB134"/>
    <mergeCell ref="BC133:BE134"/>
    <mergeCell ref="BF133:BH134"/>
    <mergeCell ref="BI133:BK134"/>
    <mergeCell ref="BN133:BP134"/>
    <mergeCell ref="BB135:BK135"/>
    <mergeCell ref="BL135:BP135"/>
  </mergeCells>
  <printOptions horizontalCentered="1" verticalCentered="1"/>
  <pageMargins left="0.19685039370078741" right="0.19685039370078741" top="0" bottom="0" header="0.15748031496062992" footer="0.15748031496062992"/>
  <pageSetup paperSize="9" scale="68" orientation="portrait" horizontalDpi="150" verticalDpi="15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sheetPr codeName="Folha11">
    <tabColor rgb="FF0070C0"/>
    <pageSetUpPr fitToPage="1"/>
  </sheetPr>
  <dimension ref="B1:CO155"/>
  <sheetViews>
    <sheetView showGridLines="0" zoomScale="80" zoomScaleNormal="80" workbookViewId="0">
      <selection activeCell="AS9" sqref="AS9:AS10"/>
    </sheetView>
  </sheetViews>
  <sheetFormatPr defaultRowHeight="12.75"/>
  <cols>
    <col min="1" max="1" width="1.42578125" style="1" customWidth="1"/>
    <col min="2" max="2" width="2.140625" style="1" customWidth="1"/>
    <col min="3" max="3" width="3.28515625" style="34" customWidth="1"/>
    <col min="4" max="4" width="24.140625" style="1" customWidth="1"/>
    <col min="5" max="5" width="2.85546875" style="1" customWidth="1"/>
    <col min="6" max="9" width="3.28515625" style="1" customWidth="1"/>
    <col min="10" max="10" width="3.28515625" style="34" customWidth="1"/>
    <col min="11" max="11" width="24.140625" style="1" customWidth="1"/>
    <col min="12" max="12" width="2.85546875" style="1" customWidth="1"/>
    <col min="13" max="13" width="3.42578125" style="1" customWidth="1"/>
    <col min="14" max="16" width="3.28515625" style="1" customWidth="1"/>
    <col min="17" max="17" width="3.28515625" style="34" customWidth="1"/>
    <col min="18" max="18" width="24.140625" style="1" customWidth="1"/>
    <col min="19" max="19" width="2.85546875" style="1" customWidth="1"/>
    <col min="20" max="23" width="3.28515625" style="1" customWidth="1"/>
    <col min="24" max="24" width="3.28515625" style="34" customWidth="1"/>
    <col min="25" max="25" width="24.140625" style="1" customWidth="1"/>
    <col min="26" max="26" width="1.85546875" style="1" customWidth="1"/>
    <col min="27" max="29" width="3.28515625" style="1" customWidth="1"/>
    <col min="30" max="30" width="4" style="1" customWidth="1"/>
    <col min="31" max="31" width="6.140625" style="1" customWidth="1"/>
    <col min="32" max="32" width="5" style="1" customWidth="1"/>
    <col min="33" max="33" width="5.5703125" style="1" customWidth="1"/>
    <col min="34" max="34" width="5.85546875" style="1" customWidth="1"/>
    <col min="35" max="35" width="5.5703125" style="1" customWidth="1"/>
    <col min="36" max="36" width="5.85546875" style="1" customWidth="1"/>
    <col min="37" max="38" width="6.85546875" style="1" customWidth="1"/>
    <col min="39" max="39" width="4.7109375" style="1" customWidth="1"/>
    <col min="40" max="40" width="5" style="1" customWidth="1"/>
    <col min="41" max="41" width="26.42578125" style="1" customWidth="1"/>
    <col min="42" max="44" width="10" style="1" customWidth="1"/>
    <col min="45" max="51" width="12" style="1" customWidth="1"/>
    <col min="52" max="52" width="2.85546875" style="1" customWidth="1"/>
    <col min="53" max="53" width="34.7109375" style="1" customWidth="1"/>
    <col min="54" max="54" width="8.140625" style="1" customWidth="1"/>
    <col min="55" max="84" width="3.28515625" style="1" customWidth="1"/>
    <col min="85" max="85" width="2.85546875" style="1" customWidth="1"/>
    <col min="86" max="86" width="9.140625" style="1"/>
    <col min="87" max="87" width="7.5703125" style="1" customWidth="1"/>
    <col min="88" max="90" width="9.140625" style="1"/>
    <col min="91" max="91" width="22" style="1" customWidth="1"/>
    <col min="92" max="93" width="27.28515625" style="1" customWidth="1"/>
    <col min="94" max="16384" width="9.140625" style="1"/>
  </cols>
  <sheetData>
    <row r="1" spans="2:71" ht="9" customHeight="1"/>
    <row r="2" spans="2:71" ht="28.5" customHeight="1">
      <c r="B2" s="125"/>
      <c r="C2" s="481" t="s">
        <v>252</v>
      </c>
      <c r="D2" s="481"/>
      <c r="E2" s="481"/>
      <c r="F2" s="481"/>
      <c r="G2" s="110"/>
      <c r="H2" s="482" t="s">
        <v>53</v>
      </c>
      <c r="I2" s="482"/>
      <c r="J2" s="482"/>
      <c r="K2" s="482"/>
      <c r="L2" s="482"/>
      <c r="M2" s="482"/>
      <c r="N2" s="482"/>
      <c r="O2" s="482"/>
      <c r="P2" s="482"/>
      <c r="Q2" s="482"/>
      <c r="R2" s="482"/>
      <c r="S2" s="482"/>
      <c r="T2" s="482"/>
      <c r="U2" s="482"/>
      <c r="V2" s="482"/>
      <c r="W2" s="482"/>
      <c r="X2" s="482"/>
      <c r="Y2" s="110"/>
      <c r="Z2" s="110"/>
      <c r="AA2" s="110"/>
      <c r="AB2" s="110"/>
      <c r="AC2" s="110"/>
      <c r="AD2" s="110" t="s">
        <v>17</v>
      </c>
      <c r="AE2" s="3"/>
      <c r="AG2" s="310"/>
      <c r="AH2" s="311"/>
      <c r="AN2" s="312"/>
      <c r="AO2" s="312"/>
      <c r="AP2" s="312"/>
      <c r="AQ2" s="312"/>
      <c r="AR2" s="312"/>
      <c r="AS2" s="312"/>
      <c r="AT2" s="312"/>
      <c r="AU2" s="312"/>
      <c r="AV2" s="312"/>
      <c r="AW2" s="312"/>
      <c r="AX2" s="312"/>
      <c r="AY2" s="312"/>
      <c r="BA2" s="313"/>
      <c r="BB2" s="313"/>
      <c r="BC2" s="313"/>
      <c r="BD2" s="313"/>
      <c r="BE2" s="313"/>
      <c r="BF2" s="313"/>
      <c r="BG2" s="313"/>
      <c r="BH2" s="313"/>
      <c r="BI2" s="313"/>
      <c r="BJ2" s="313"/>
      <c r="BK2" s="313"/>
      <c r="BL2" s="313"/>
      <c r="BM2" s="313"/>
      <c r="BN2" s="313"/>
      <c r="BO2" s="313"/>
      <c r="BP2" s="313"/>
      <c r="BQ2" s="313"/>
      <c r="BR2" s="313"/>
      <c r="BS2" s="313"/>
    </row>
    <row r="3" spans="2:71" ht="20.25" customHeight="1">
      <c r="B3" s="126"/>
      <c r="C3" s="483" t="s">
        <v>253</v>
      </c>
      <c r="D3" s="483"/>
      <c r="E3" s="483"/>
      <c r="F3" s="483"/>
      <c r="G3" s="111"/>
      <c r="H3" s="484" t="s">
        <v>52</v>
      </c>
      <c r="I3" s="484"/>
      <c r="J3" s="484"/>
      <c r="K3" s="484"/>
      <c r="L3" s="484"/>
      <c r="M3" s="484"/>
      <c r="N3" s="484"/>
      <c r="O3" s="484"/>
      <c r="P3" s="112" t="s">
        <v>31</v>
      </c>
      <c r="Q3" s="485" t="s">
        <v>24</v>
      </c>
      <c r="R3" s="485"/>
      <c r="S3" s="485"/>
      <c r="T3" s="485"/>
      <c r="U3" s="485"/>
      <c r="V3" s="485"/>
      <c r="W3" s="485"/>
      <c r="X3" s="485"/>
      <c r="Y3" s="111"/>
      <c r="Z3" s="111"/>
      <c r="AA3" s="111"/>
      <c r="AB3" s="111"/>
      <c r="AC3" s="111"/>
      <c r="AD3" s="111"/>
      <c r="AE3" s="113"/>
      <c r="AG3" s="310"/>
      <c r="AH3" s="311"/>
      <c r="AN3" s="312"/>
      <c r="AO3" s="312"/>
      <c r="AP3" s="312"/>
      <c r="AQ3" s="312"/>
      <c r="AR3" s="312"/>
      <c r="AS3" s="312"/>
      <c r="AT3" s="312"/>
      <c r="AU3" s="312"/>
      <c r="AV3" s="312"/>
      <c r="AW3" s="312"/>
      <c r="AX3" s="312"/>
      <c r="AY3" s="312"/>
      <c r="BA3" s="313"/>
      <c r="BB3" s="313"/>
      <c r="BC3" s="313"/>
      <c r="BD3" s="313"/>
      <c r="BE3" s="313"/>
      <c r="BF3" s="313"/>
      <c r="BG3" s="313"/>
      <c r="BH3" s="313"/>
      <c r="BI3" s="313"/>
      <c r="BJ3" s="313"/>
      <c r="BK3" s="313"/>
      <c r="BL3" s="313"/>
      <c r="BM3" s="313"/>
      <c r="BN3" s="313"/>
      <c r="BO3" s="313"/>
      <c r="BP3" s="313"/>
      <c r="BQ3" s="313"/>
      <c r="BR3" s="313"/>
      <c r="BS3" s="313"/>
    </row>
    <row r="4" spans="2:71" ht="13.5" customHeight="1" thickBot="1">
      <c r="B4" s="126"/>
      <c r="C4" s="115"/>
      <c r="D4" s="114"/>
      <c r="E4" s="114"/>
      <c r="F4" s="114"/>
      <c r="G4" s="114"/>
      <c r="H4" s="114"/>
      <c r="I4" s="114"/>
      <c r="J4" s="115"/>
      <c r="K4" s="114"/>
      <c r="L4" s="114"/>
      <c r="M4" s="114"/>
      <c r="N4" s="114"/>
      <c r="O4" s="114"/>
      <c r="P4" s="114" t="s">
        <v>19</v>
      </c>
      <c r="Q4" s="115"/>
      <c r="R4" s="114"/>
      <c r="S4" s="114"/>
      <c r="T4" s="114"/>
      <c r="U4" s="114"/>
      <c r="V4" s="114"/>
      <c r="W4" s="114" t="s">
        <v>18</v>
      </c>
      <c r="X4" s="115"/>
      <c r="Y4" s="114"/>
      <c r="Z4" s="114"/>
      <c r="AA4" s="114"/>
      <c r="AB4" s="114"/>
      <c r="AC4" s="114"/>
      <c r="AD4" s="114"/>
      <c r="AE4" s="116"/>
      <c r="AF4" s="106"/>
      <c r="AN4" s="312"/>
      <c r="AO4" s="312"/>
      <c r="AP4" s="312"/>
      <c r="AQ4" s="312"/>
      <c r="AR4" s="312"/>
      <c r="AS4" s="312"/>
      <c r="AT4" s="312"/>
      <c r="AU4" s="312"/>
      <c r="AV4" s="312"/>
      <c r="AW4" s="312"/>
      <c r="AX4" s="312"/>
      <c r="AY4" s="312"/>
      <c r="BA4" s="313"/>
      <c r="BB4" s="313"/>
      <c r="BC4" s="313"/>
      <c r="BD4" s="313"/>
      <c r="BE4" s="313"/>
      <c r="BF4" s="313"/>
      <c r="BG4" s="313"/>
      <c r="BH4" s="313"/>
      <c r="BI4" s="313"/>
      <c r="BJ4" s="313"/>
      <c r="BK4" s="313"/>
      <c r="BL4" s="313"/>
      <c r="BM4" s="313"/>
      <c r="BN4" s="313"/>
      <c r="BO4" s="313"/>
      <c r="BP4" s="313"/>
      <c r="BQ4" s="313"/>
      <c r="BR4" s="313"/>
      <c r="BS4" s="313"/>
    </row>
    <row r="5" spans="2:71" ht="28.5" customHeight="1">
      <c r="B5" s="126"/>
      <c r="C5" s="486" t="s">
        <v>7</v>
      </c>
      <c r="D5" s="487"/>
      <c r="E5" s="487"/>
      <c r="F5" s="487"/>
      <c r="G5" s="487"/>
      <c r="H5" s="487"/>
      <c r="I5" s="488"/>
      <c r="J5" s="486" t="s">
        <v>8</v>
      </c>
      <c r="K5" s="487"/>
      <c r="L5" s="487"/>
      <c r="M5" s="487"/>
      <c r="N5" s="487"/>
      <c r="O5" s="487"/>
      <c r="P5" s="488"/>
      <c r="Q5" s="486" t="s">
        <v>9</v>
      </c>
      <c r="R5" s="487"/>
      <c r="S5" s="487"/>
      <c r="T5" s="487"/>
      <c r="U5" s="487"/>
      <c r="V5" s="487"/>
      <c r="W5" s="488"/>
      <c r="X5" s="486" t="s">
        <v>10</v>
      </c>
      <c r="Y5" s="487"/>
      <c r="Z5" s="487"/>
      <c r="AA5" s="487"/>
      <c r="AB5" s="487"/>
      <c r="AC5" s="487"/>
      <c r="AD5" s="488"/>
      <c r="AE5" s="117"/>
      <c r="AF5" s="107"/>
      <c r="AG5" s="478" t="s">
        <v>47</v>
      </c>
      <c r="AH5" s="478"/>
      <c r="AI5" s="478"/>
      <c r="AJ5" s="478"/>
      <c r="AN5" s="314"/>
      <c r="AO5" s="314"/>
      <c r="AP5" s="314"/>
      <c r="AQ5" s="314"/>
      <c r="AR5" s="314"/>
      <c r="AS5" s="315"/>
      <c r="AT5" s="315"/>
      <c r="AU5" s="315"/>
      <c r="AV5" s="315"/>
      <c r="AW5" s="315"/>
      <c r="AX5" s="315"/>
      <c r="AY5" s="315"/>
      <c r="BA5" s="313"/>
      <c r="BB5" s="313"/>
      <c r="BC5" s="313"/>
      <c r="BD5" s="313"/>
      <c r="BE5" s="313"/>
      <c r="BF5" s="313"/>
      <c r="BG5" s="313"/>
      <c r="BH5" s="313"/>
      <c r="BI5" s="313"/>
      <c r="BJ5" s="313"/>
      <c r="BK5" s="313"/>
      <c r="BL5" s="313"/>
      <c r="BM5" s="313"/>
      <c r="BN5" s="313"/>
      <c r="BO5" s="313"/>
      <c r="BP5" s="313"/>
      <c r="BQ5" s="313"/>
      <c r="BR5" s="313"/>
      <c r="BS5" s="313"/>
    </row>
    <row r="6" spans="2:71" ht="18" customHeight="1">
      <c r="B6" s="126"/>
      <c r="C6" s="2"/>
      <c r="D6" s="480" t="s">
        <v>11</v>
      </c>
      <c r="E6" s="480"/>
      <c r="F6" s="480"/>
      <c r="G6" s="3"/>
      <c r="H6" s="4" t="s">
        <v>6</v>
      </c>
      <c r="I6" s="5"/>
      <c r="J6" s="2"/>
      <c r="K6" s="480" t="s">
        <v>11</v>
      </c>
      <c r="L6" s="480"/>
      <c r="M6" s="480"/>
      <c r="N6" s="3"/>
      <c r="O6" s="4" t="s">
        <v>6</v>
      </c>
      <c r="P6" s="5"/>
      <c r="Q6" s="2"/>
      <c r="R6" s="480" t="s">
        <v>11</v>
      </c>
      <c r="S6" s="480"/>
      <c r="T6" s="480"/>
      <c r="U6" s="3"/>
      <c r="V6" s="4" t="s">
        <v>6</v>
      </c>
      <c r="W6" s="5"/>
      <c r="X6" s="2"/>
      <c r="Y6" s="480" t="s">
        <v>11</v>
      </c>
      <c r="Z6" s="480"/>
      <c r="AA6" s="480"/>
      <c r="AB6" s="3"/>
      <c r="AC6" s="4" t="s">
        <v>6</v>
      </c>
      <c r="AD6" s="5"/>
      <c r="AE6" s="117"/>
      <c r="AF6" s="107"/>
      <c r="AG6" s="478"/>
      <c r="AH6" s="478"/>
      <c r="AI6" s="478"/>
      <c r="AJ6" s="478"/>
      <c r="AN6" s="286"/>
      <c r="AO6" s="286"/>
      <c r="AP6" s="316"/>
      <c r="AQ6" s="316"/>
      <c r="AR6" s="316"/>
      <c r="AS6" s="287"/>
      <c r="AT6" s="287"/>
      <c r="AU6" s="287"/>
      <c r="AV6" s="287"/>
      <c r="AW6" s="287"/>
      <c r="AX6" s="287"/>
      <c r="AY6" s="287"/>
      <c r="BA6" s="313"/>
      <c r="BB6" s="313"/>
      <c r="BC6" s="313"/>
      <c r="BD6" s="313"/>
      <c r="BE6" s="313"/>
      <c r="BF6" s="313"/>
      <c r="BG6" s="313"/>
      <c r="BH6" s="313"/>
      <c r="BI6" s="313"/>
      <c r="BJ6" s="313"/>
      <c r="BK6" s="313"/>
      <c r="BL6" s="313"/>
      <c r="BM6" s="313"/>
      <c r="BN6" s="313"/>
      <c r="BO6" s="313"/>
      <c r="BP6" s="313"/>
      <c r="BQ6" s="313"/>
      <c r="BR6" s="313"/>
      <c r="BS6" s="313"/>
    </row>
    <row r="7" spans="2:71" ht="19.5" customHeight="1" thickBot="1">
      <c r="B7" s="126"/>
      <c r="C7" s="6"/>
      <c r="D7" s="473" t="s">
        <v>427</v>
      </c>
      <c r="E7" s="473"/>
      <c r="F7" s="473"/>
      <c r="G7" s="7" t="s">
        <v>16</v>
      </c>
      <c r="H7" s="8">
        <f>IF(COUNT(F$16,F$22,F$27)=0,"",SUM(AND(F$16&lt;&gt;"",F$17&lt;&gt;"",F$16&gt;F$17),AND(F$22&lt;&gt;"",F$23&lt;&gt;"",F$22&gt;F$23),AND(F$27&lt;&gt;"",F$26&lt;&gt;"",F$27&gt;F$26)))</f>
        <v>1</v>
      </c>
      <c r="I7" s="9"/>
      <c r="J7" s="6"/>
      <c r="K7" s="473" t="s">
        <v>228</v>
      </c>
      <c r="L7" s="473"/>
      <c r="M7" s="473"/>
      <c r="N7" s="7" t="s">
        <v>16</v>
      </c>
      <c r="O7" s="8" t="str">
        <f>IF(COUNT(M$16,M$22,M$27)=0,"",SUM(AND(M$16&lt;&gt;"",M$17&lt;&gt;"",M$16&gt;M$17),AND(M$22&lt;&gt;"",M$23&lt;&gt;"",M$22&gt;M$23),AND(M$27&lt;&gt;"",M$26&lt;&gt;"",M$27&gt;M$26)))</f>
        <v/>
      </c>
      <c r="P7" s="9"/>
      <c r="Q7" s="6"/>
      <c r="R7" s="473" t="s">
        <v>232</v>
      </c>
      <c r="S7" s="473"/>
      <c r="T7" s="473"/>
      <c r="U7" s="7" t="s">
        <v>16</v>
      </c>
      <c r="V7" s="8" t="str">
        <f>IF(COUNT(T$16,T$22,T$27)=0,"",SUM(AND(T$16&lt;&gt;"",T$17&lt;&gt;"",T$16&gt;T$17),AND(T$22&lt;&gt;"",T$23&lt;&gt;"",T$22&gt;T$23),AND(T$27&lt;&gt;"",T$26&lt;&gt;"",T$27&gt;T$26)))</f>
        <v/>
      </c>
      <c r="W7" s="9"/>
      <c r="X7" s="6"/>
      <c r="Y7" s="473" t="s">
        <v>236</v>
      </c>
      <c r="Z7" s="473"/>
      <c r="AA7" s="473"/>
      <c r="AB7" s="7" t="s">
        <v>16</v>
      </c>
      <c r="AC7" s="8" t="str">
        <f>IF(COUNT(AA$16,AA$22,AA$27)=0,"",SUM(AND(AA$16&lt;&gt;"",AA$17&lt;&gt;"",AA$16&gt;AA$17),AND(AA$22&lt;&gt;"",AA$23&lt;&gt;"",AA$22&gt;AA$23),AND(AA$27&lt;&gt;"",AA$26&lt;&gt;"",AA$27&gt;AA$26)))</f>
        <v/>
      </c>
      <c r="AD7" s="9"/>
      <c r="AE7" s="113"/>
      <c r="AG7" s="479"/>
      <c r="AH7" s="479"/>
      <c r="AI7" s="479"/>
      <c r="AJ7" s="479"/>
      <c r="AT7" s="291"/>
      <c r="AU7" s="291"/>
      <c r="AV7" s="290"/>
      <c r="AW7" s="291"/>
      <c r="AX7" s="291"/>
      <c r="AY7" s="290"/>
      <c r="BA7" s="313"/>
      <c r="BB7" s="313"/>
      <c r="BC7" s="313"/>
      <c r="BD7" s="313"/>
      <c r="BE7" s="313"/>
      <c r="BF7" s="313"/>
      <c r="BG7" s="313"/>
      <c r="BH7" s="313"/>
      <c r="BI7" s="313"/>
      <c r="BJ7" s="313"/>
      <c r="BK7" s="313"/>
      <c r="BL7" s="313"/>
      <c r="BM7" s="313"/>
      <c r="BN7" s="313"/>
      <c r="BO7" s="313"/>
      <c r="BP7" s="313"/>
      <c r="BQ7" s="313"/>
      <c r="BR7" s="313"/>
      <c r="BS7" s="313"/>
    </row>
    <row r="8" spans="2:71" ht="19.5" customHeight="1">
      <c r="B8" s="126"/>
      <c r="C8" s="6"/>
      <c r="D8" s="473" t="s">
        <v>226</v>
      </c>
      <c r="E8" s="473"/>
      <c r="F8" s="473"/>
      <c r="G8" s="10" t="s">
        <v>16</v>
      </c>
      <c r="H8" s="8" t="str">
        <f>IF(COUNT(F$18,F$23,F$24)=0,"",SUM(AND(F$18&lt;&gt;"",F$19&lt;&gt;"",F$18&gt;F$19),AND(F$22&lt;&gt;"",F$23&lt;&gt;"",F$23&gt;F$22),AND(F$24&lt;&gt;"",F$25&lt;&gt;"",F$24&gt;F$25)))</f>
        <v/>
      </c>
      <c r="I8" s="9"/>
      <c r="J8" s="6"/>
      <c r="K8" s="473" t="s">
        <v>229</v>
      </c>
      <c r="L8" s="473"/>
      <c r="M8" s="473"/>
      <c r="N8" s="10" t="s">
        <v>16</v>
      </c>
      <c r="O8" s="8" t="str">
        <f>IF(COUNT(M$18,M$23,M$24)=0,"",SUM(AND(M$18&lt;&gt;"",M$19&lt;&gt;"",M$18&gt;M$19),AND(M$22&lt;&gt;"",M$23&lt;&gt;"",M$23&gt;M$22),AND(M$24&lt;&gt;"",M$25&lt;&gt;"",M$24&gt;M$25)))</f>
        <v/>
      </c>
      <c r="P8" s="9"/>
      <c r="Q8" s="6"/>
      <c r="R8" s="473" t="s">
        <v>233</v>
      </c>
      <c r="S8" s="473"/>
      <c r="T8" s="473"/>
      <c r="U8" s="10" t="s">
        <v>16</v>
      </c>
      <c r="V8" s="8" t="str">
        <f>IF(COUNT(T$18,T$23,T$24)=0,"",SUM(AND(T$18&lt;&gt;"",T$19&lt;&gt;"",T$18&gt;T$19),AND(T$22&lt;&gt;"",T$23&lt;&gt;"",T$23&gt;T$22),AND(T$24&lt;&gt;"",T$25&lt;&gt;"",T$24&gt;T$25)))</f>
        <v/>
      </c>
      <c r="W8" s="9"/>
      <c r="X8" s="6"/>
      <c r="Y8" s="473" t="s">
        <v>237</v>
      </c>
      <c r="Z8" s="473"/>
      <c r="AA8" s="473"/>
      <c r="AB8" s="10" t="s">
        <v>16</v>
      </c>
      <c r="AC8" s="8" t="str">
        <f>IF(COUNT(AA$18,AA$23,AA$24)=0,"",SUM(AND(AA$18&lt;&gt;"",AA$19&lt;&gt;"",AA$18&gt;AA$19),AND(AA$22&lt;&gt;"",AA$23&lt;&gt;"",AA$23&gt;AA$22),AND(AA$24&lt;&gt;"",AA$25&lt;&gt;"",AA$24&gt;AA$25)))</f>
        <v/>
      </c>
      <c r="AD8" s="9"/>
      <c r="AE8" s="113"/>
      <c r="AG8" s="474" t="s">
        <v>40</v>
      </c>
      <c r="AH8" s="476" t="s">
        <v>41</v>
      </c>
      <c r="AI8" s="474" t="s">
        <v>40</v>
      </c>
      <c r="AJ8" s="476" t="s">
        <v>41</v>
      </c>
      <c r="AT8" s="317"/>
      <c r="AU8" s="317"/>
      <c r="AV8" s="290"/>
      <c r="AW8" s="317"/>
      <c r="AX8" s="317"/>
      <c r="AY8" s="290"/>
      <c r="BA8" s="313"/>
      <c r="BB8" s="313"/>
      <c r="BC8" s="313"/>
      <c r="BD8" s="313"/>
      <c r="BE8" s="313"/>
      <c r="BF8" s="313"/>
      <c r="BG8" s="313"/>
      <c r="BH8" s="313"/>
      <c r="BI8" s="313"/>
      <c r="BJ8" s="313"/>
      <c r="BK8" s="313"/>
      <c r="BL8" s="313"/>
      <c r="BM8" s="313"/>
      <c r="BN8" s="313"/>
      <c r="BO8" s="313"/>
      <c r="BP8" s="313"/>
      <c r="BQ8" s="313"/>
      <c r="BR8" s="313"/>
      <c r="BS8" s="313"/>
    </row>
    <row r="9" spans="2:71" ht="19.5" customHeight="1" thickBot="1">
      <c r="B9" s="126"/>
      <c r="C9" s="6"/>
      <c r="D9" s="473" t="s">
        <v>227</v>
      </c>
      <c r="E9" s="473"/>
      <c r="F9" s="473"/>
      <c r="G9" s="10" t="s">
        <v>16</v>
      </c>
      <c r="H9" s="8" t="str">
        <f>IF(COUNT(F$19,F$21,F$26)=0,"",SUM(AND(F$18&lt;&gt;"",F$19&lt;&gt;"",F$19&gt;F$18),AND(F$20&lt;&gt;"",F$21&lt;&gt;"",F$21&gt;F$20),AND(F$26&lt;&gt;"",F$27&lt;&gt;"",F$26&gt;F$27)))</f>
        <v/>
      </c>
      <c r="I9" s="9"/>
      <c r="J9" s="6"/>
      <c r="K9" s="473" t="s">
        <v>230</v>
      </c>
      <c r="L9" s="473"/>
      <c r="M9" s="473"/>
      <c r="N9" s="10" t="s">
        <v>16</v>
      </c>
      <c r="O9" s="8" t="str">
        <f>IF(COUNT(M$19,M$21,M$26)=0,"",SUM(AND(M$18&lt;&gt;"",M$19&lt;&gt;"",M$19&gt;M$18),AND(M$20&lt;&gt;"",M$21&lt;&gt;"",M$21&gt;M$20),AND(M$26&lt;&gt;"",M$27&lt;&gt;"",M$26&gt;M$27)))</f>
        <v/>
      </c>
      <c r="P9" s="9"/>
      <c r="Q9" s="6"/>
      <c r="R9" s="473" t="s">
        <v>234</v>
      </c>
      <c r="S9" s="473"/>
      <c r="T9" s="473"/>
      <c r="U9" s="10" t="s">
        <v>16</v>
      </c>
      <c r="V9" s="8" t="str">
        <f>IF(COUNT(T$19,T$21,T$26)=0,"",SUM(AND(T$18&lt;&gt;"",T$19&lt;&gt;"",T$19&gt;T$18),AND(T$20&lt;&gt;"",T$21&lt;&gt;"",T$21&gt;T$20),AND(T$26&lt;&gt;"",T$27&lt;&gt;"",T$26&gt;T$27)))</f>
        <v/>
      </c>
      <c r="W9" s="9"/>
      <c r="X9" s="6"/>
      <c r="Y9" s="473" t="s">
        <v>239</v>
      </c>
      <c r="Z9" s="473"/>
      <c r="AA9" s="473"/>
      <c r="AB9" s="10" t="s">
        <v>16</v>
      </c>
      <c r="AC9" s="8" t="str">
        <f>IF(COUNT(AA$19,AA$21,AA$26)=0,"",SUM(AND(AA$18&lt;&gt;"",AA$19&lt;&gt;"",AA$19&gt;AA$18),AND(AA$20&lt;&gt;"",AA$21&lt;&gt;"",AA$21&gt;AA$20),AND(AA$26&lt;&gt;"",AA$27&lt;&gt;"",AA$26&gt;AA$27)))</f>
        <v/>
      </c>
      <c r="AD9" s="9"/>
      <c r="AE9" s="113"/>
      <c r="AG9" s="475"/>
      <c r="AH9" s="477"/>
      <c r="AI9" s="475"/>
      <c r="AJ9" s="477"/>
      <c r="AN9" s="318"/>
      <c r="AO9" s="468" t="s">
        <v>415</v>
      </c>
      <c r="AP9" s="470" t="s">
        <v>416</v>
      </c>
      <c r="AQ9" s="470" t="s">
        <v>417</v>
      </c>
      <c r="AR9" s="470" t="s">
        <v>418</v>
      </c>
      <c r="AS9" s="472" t="s">
        <v>419</v>
      </c>
      <c r="AT9" s="291"/>
      <c r="AU9" s="291"/>
      <c r="AV9" s="290"/>
      <c r="AW9" s="291"/>
      <c r="AX9" s="291"/>
      <c r="AY9" s="290"/>
      <c r="BA9" s="313"/>
      <c r="BB9" s="313"/>
      <c r="BC9" s="313"/>
      <c r="BD9" s="313"/>
      <c r="BE9" s="313"/>
      <c r="BF9" s="313"/>
      <c r="BG9" s="313"/>
      <c r="BH9" s="313"/>
      <c r="BI9" s="313"/>
      <c r="BJ9" s="313"/>
      <c r="BK9" s="313"/>
      <c r="BL9" s="313"/>
      <c r="BM9" s="313"/>
      <c r="BN9" s="313"/>
      <c r="BO9" s="313"/>
      <c r="BP9" s="313"/>
      <c r="BQ9" s="313"/>
      <c r="BR9" s="313"/>
      <c r="BS9" s="313"/>
    </row>
    <row r="10" spans="2:71" ht="19.5" customHeight="1" thickBot="1">
      <c r="B10" s="126"/>
      <c r="C10" s="6"/>
      <c r="D10" s="473" t="s">
        <v>251</v>
      </c>
      <c r="E10" s="473"/>
      <c r="F10" s="473"/>
      <c r="G10" s="10" t="s">
        <v>16</v>
      </c>
      <c r="H10" s="11">
        <f>IF(COUNT(F$17,F$20,F$25)=0,"",SUM(AND(F$16&lt;&gt;"",F$17&lt;&gt;"",F$17&gt;F$16),AND(F$20&lt;&gt;"",F$21&lt;&gt;"",F$20&gt;F$21),AND(F$24&lt;&gt;"",F$25&lt;&gt;"",F$25&gt;F$24)))</f>
        <v>0</v>
      </c>
      <c r="I10" s="12"/>
      <c r="J10" s="6"/>
      <c r="K10" s="473" t="s">
        <v>231</v>
      </c>
      <c r="L10" s="473"/>
      <c r="M10" s="473"/>
      <c r="N10" s="10" t="s">
        <v>16</v>
      </c>
      <c r="O10" s="11" t="str">
        <f>IF(COUNT(M$17,M$20,M$25)=0,"",SUM(AND(M$16&lt;&gt;"",M$17&lt;&gt;"",M$17&gt;M$16),AND(M$20&lt;&gt;"",M$21&lt;&gt;"",M$20&gt;M$21),AND(M$24&lt;&gt;"",M$25&lt;&gt;"",M$25&gt;M$24)))</f>
        <v/>
      </c>
      <c r="P10" s="12"/>
      <c r="Q10" s="6"/>
      <c r="R10" s="473" t="s">
        <v>235</v>
      </c>
      <c r="S10" s="473"/>
      <c r="T10" s="473"/>
      <c r="U10" s="10" t="s">
        <v>16</v>
      </c>
      <c r="V10" s="11" t="str">
        <f>IF(COUNT(T$17,T$20,T$25)=0,"",SUM(AND(T$16&lt;&gt;"",T$17&lt;&gt;"",T$17&gt;T$16),AND(T$20&lt;&gt;"",T$21&lt;&gt;"",T$20&gt;T$21),AND(T$24&lt;&gt;"",T$25&lt;&gt;"",T$25&gt;T$24)))</f>
        <v/>
      </c>
      <c r="W10" s="12"/>
      <c r="X10" s="6"/>
      <c r="Y10" s="473" t="s">
        <v>238</v>
      </c>
      <c r="Z10" s="473"/>
      <c r="AA10" s="473"/>
      <c r="AB10" s="10" t="s">
        <v>16</v>
      </c>
      <c r="AC10" s="11" t="str">
        <f>IF(COUNT(AA$17,AA$20,AA$25)=0,"",SUM(AND(AA$16&lt;&gt;"",AA$17&lt;&gt;"",AA$17&gt;AA$16),AND(AA$20&lt;&gt;"",AA$21&lt;&gt;"",AA$20&gt;AA$21),AND(AA$24&lt;&gt;"",AA$25&lt;&gt;"",AA$25&gt;AA$24)))</f>
        <v/>
      </c>
      <c r="AD10" s="12"/>
      <c r="AE10" s="113"/>
      <c r="AG10" s="159">
        <f>$C$16</f>
        <v>1</v>
      </c>
      <c r="AH10" s="160"/>
      <c r="AI10" s="159">
        <f>$C$24</f>
        <v>17</v>
      </c>
      <c r="AJ10" s="160"/>
      <c r="AK10" s="454" t="s">
        <v>49</v>
      </c>
      <c r="AL10" s="455"/>
      <c r="AN10" s="319"/>
      <c r="AO10" s="469"/>
      <c r="AP10" s="469"/>
      <c r="AQ10" s="471"/>
      <c r="AR10" s="469"/>
      <c r="AS10" s="472"/>
      <c r="AT10" s="291"/>
      <c r="AU10" s="291"/>
      <c r="AV10" s="290"/>
      <c r="AW10" s="291"/>
      <c r="AX10" s="291"/>
      <c r="AY10" s="290"/>
      <c r="BA10" s="313"/>
      <c r="BB10" s="313"/>
      <c r="BC10" s="313"/>
      <c r="BD10" s="313"/>
      <c r="BE10" s="313"/>
      <c r="BF10" s="313"/>
      <c r="BG10" s="313"/>
      <c r="BH10" s="313"/>
      <c r="BI10" s="313"/>
      <c r="BJ10" s="313"/>
      <c r="BK10" s="313"/>
      <c r="BL10" s="313"/>
      <c r="BM10" s="313"/>
      <c r="BN10" s="313"/>
      <c r="BO10" s="313"/>
      <c r="BP10" s="313"/>
      <c r="BQ10" s="313"/>
      <c r="BR10" s="313"/>
      <c r="BS10" s="313"/>
    </row>
    <row r="11" spans="2:71" ht="17.25" customHeight="1">
      <c r="B11" s="126"/>
      <c r="C11" s="465" t="s">
        <v>420</v>
      </c>
      <c r="D11" s="466"/>
      <c r="E11" s="466"/>
      <c r="F11" s="466"/>
      <c r="G11" s="466"/>
      <c r="H11" s="466"/>
      <c r="I11" s="467"/>
      <c r="J11" s="465" t="s">
        <v>421</v>
      </c>
      <c r="K11" s="466"/>
      <c r="L11" s="466"/>
      <c r="M11" s="466"/>
      <c r="N11" s="466"/>
      <c r="O11" s="466"/>
      <c r="P11" s="467"/>
      <c r="Q11" s="465" t="s">
        <v>422</v>
      </c>
      <c r="R11" s="466"/>
      <c r="S11" s="466"/>
      <c r="T11" s="466"/>
      <c r="U11" s="466"/>
      <c r="V11" s="466"/>
      <c r="W11" s="467"/>
      <c r="X11" s="465" t="s">
        <v>423</v>
      </c>
      <c r="Y11" s="466"/>
      <c r="Z11" s="466"/>
      <c r="AA11" s="466"/>
      <c r="AB11" s="466"/>
      <c r="AC11" s="466"/>
      <c r="AD11" s="467"/>
      <c r="AE11" s="113"/>
      <c r="AG11" s="109">
        <f>$C$18</f>
        <v>2</v>
      </c>
      <c r="AH11" s="161"/>
      <c r="AI11" s="109">
        <f>$C$26</f>
        <v>18</v>
      </c>
      <c r="AJ11" s="161"/>
      <c r="AK11" s="159">
        <f>$O$52</f>
        <v>33</v>
      </c>
      <c r="AL11" s="160"/>
      <c r="AN11" s="320" t="s">
        <v>424</v>
      </c>
      <c r="AO11" s="321" t="str">
        <f>IF(D7="","",D7)</f>
        <v>Manuel P./João V. (AE Sertã)</v>
      </c>
      <c r="AP11" s="322">
        <f>H7</f>
        <v>1</v>
      </c>
      <c r="AQ11" s="322">
        <f>IF(AP11="","",(IF(F16="",0,F16)+IF(F22="",0,F22)+IF(F27="",0,F27))-(IF(F17="",0,F17)+IF(F23="",0,F23)+IF(F26="",0,F26)))</f>
        <v>1</v>
      </c>
      <c r="AR11" s="322">
        <f>IF(AP11="","",(IF(F16="",0,SUM(G16:I16))+IF(F22="",0,SUM(G22:I22))+IF(F27="",0,SUM(G27:I27)))-(IF(F17="",0,SUM(G17:I17))+IF(F23="",0,SUM(G23:I23))+IF(F26="",0,SUM(G26:I26))))</f>
        <v>6</v>
      </c>
      <c r="AT11" s="291"/>
      <c r="AU11" s="291"/>
      <c r="AV11" s="290"/>
      <c r="AW11" s="291"/>
      <c r="AX11" s="291"/>
      <c r="AY11" s="290"/>
      <c r="BA11" s="313"/>
      <c r="BB11" s="313"/>
      <c r="BC11" s="313"/>
      <c r="BD11" s="313"/>
      <c r="BE11" s="313"/>
      <c r="BF11" s="313"/>
      <c r="BG11" s="313"/>
      <c r="BH11" s="313"/>
      <c r="BI11" s="313"/>
      <c r="BJ11" s="313"/>
      <c r="BK11" s="313"/>
      <c r="BL11" s="313"/>
      <c r="BM11" s="313"/>
      <c r="BN11" s="313"/>
      <c r="BO11" s="313"/>
      <c r="BP11" s="313"/>
      <c r="BQ11" s="313"/>
      <c r="BR11" s="313"/>
      <c r="BS11" s="313"/>
    </row>
    <row r="12" spans="2:71" ht="15" customHeight="1">
      <c r="B12" s="126"/>
      <c r="C12" s="13" t="s">
        <v>12</v>
      </c>
      <c r="D12" s="463" t="str">
        <f>IF(COUNTIF(H$7:H$10,"")&gt;2,"",IF(LARGE(H$7:H$10,1)&lt;&gt;LARGE(H$7:H$10,2),CHOOSE(MATCH(LARGE(H$7:H$10,1),H$7:H$10,0),D$7,D$8,D$9,D$10),"empate"))</f>
        <v>Manuel P./João V. (AE Sertã)</v>
      </c>
      <c r="E12" s="463"/>
      <c r="F12" s="463"/>
      <c r="G12" s="463"/>
      <c r="H12" s="463"/>
      <c r="I12" s="14"/>
      <c r="J12" s="13" t="s">
        <v>12</v>
      </c>
      <c r="K12" s="463" t="str">
        <f>IF(COUNTIF(O$7:O$10,"")&gt;2,"",IF(LARGE(O$7:O$10,1)&lt;&gt;LARGE(O$7:O$10,2),CHOOSE(MATCH(LARGE(O$7:O$10,1),O$7:O$10,0),K$7,K$8,K$9,K$10),"empate"))</f>
        <v/>
      </c>
      <c r="L12" s="463"/>
      <c r="M12" s="463"/>
      <c r="N12" s="463"/>
      <c r="O12" s="463"/>
      <c r="P12" s="14"/>
      <c r="Q12" s="13" t="s">
        <v>12</v>
      </c>
      <c r="R12" s="463" t="str">
        <f>IF(COUNTIF(V$7:V$10,"")&gt;2,"",IF(LARGE(V$7:V$10,1)&lt;&gt;LARGE(V$7:V$10,2),CHOOSE(MATCH(LARGE(V$7:V$10,1),V$7:V$10,0),R$7,R$8,R$9,R$10),"empate"))</f>
        <v/>
      </c>
      <c r="S12" s="463"/>
      <c r="T12" s="463"/>
      <c r="U12" s="463"/>
      <c r="V12" s="463"/>
      <c r="W12" s="14"/>
      <c r="X12" s="13" t="s">
        <v>12</v>
      </c>
      <c r="Y12" s="463" t="str">
        <f>IF(COUNTIF(AC$7:AC$10,"")&gt;2,"",IF(LARGE(AC$7:AC$10,1)&lt;&gt;LARGE(AC$7:AC$10,2),CHOOSE(MATCH(LARGE(AC$7:AC$10,1),AC$7:AC$10,0),Y$7,Y$8,Y$9,Y$10),"empate"))</f>
        <v/>
      </c>
      <c r="Z12" s="463"/>
      <c r="AA12" s="463"/>
      <c r="AB12" s="463"/>
      <c r="AC12" s="463"/>
      <c r="AD12" s="14"/>
      <c r="AE12" s="113"/>
      <c r="AG12" s="109">
        <f>$J$16</f>
        <v>3</v>
      </c>
      <c r="AH12" s="161"/>
      <c r="AI12" s="109">
        <f>$J$24</f>
        <v>19</v>
      </c>
      <c r="AJ12" s="161"/>
      <c r="AK12" s="109">
        <f>$O$60</f>
        <v>34</v>
      </c>
      <c r="AL12" s="161"/>
      <c r="AN12" s="323" t="s">
        <v>226</v>
      </c>
      <c r="AO12" s="321" t="str">
        <f>IF(D8="","",D8)</f>
        <v>A2</v>
      </c>
      <c r="AP12" s="324" t="str">
        <f>H8</f>
        <v/>
      </c>
      <c r="AQ12" s="324" t="str">
        <f>IF(AP12="","",(IF(F18="",0,F18)+IF(F23="",0,F23)+IF(F24="",0,F24))-(IF(F19="",0,F19)+IF(F22="",0,F22)+IF(F25="",0,F25)))</f>
        <v/>
      </c>
      <c r="AR12" s="324" t="str">
        <f>IF(AP12="","",(IF(F18="",0,SUM(G18:I18))+IF(F23="",0,SUM(G23:I23))+IF(F24="",0,SUM(G24:I24)))-(IF(F19="",0,SUM(G19:I19))+IF(F22="",0,SUM(G22:I22))+IF(F25="",0,SUM(G25:I25))))</f>
        <v/>
      </c>
      <c r="AS12" s="290"/>
      <c r="AT12" s="291"/>
      <c r="AU12" s="291"/>
      <c r="AV12" s="290"/>
      <c r="AW12" s="291"/>
      <c r="AX12" s="291"/>
      <c r="AY12" s="290"/>
      <c r="BA12" s="175"/>
      <c r="BB12" s="175"/>
    </row>
    <row r="13" spans="2:71" ht="15" customHeight="1">
      <c r="B13" s="126"/>
      <c r="C13" s="13" t="s">
        <v>13</v>
      </c>
      <c r="D13" s="463" t="str">
        <f>IF(COUNTIF(H$7:H$10,"")&gt;2,"",IF(COUNTIF(H$7:H$10,"")=2,CHOOSE(MATCH(LARGE(H$7:H$10,2),H$7:H$10,0),D$7,D$8,D$9,D$10),IF(AND(LARGE(H$7:H$10,2)&lt;&gt;LARGE(H$7:H$10,1),LARGE(H$7:H$10,2)&lt;&gt;LARGE(H$7:H$10,3)),CHOOSE(MATCH(LARGE(H$7:H$10,2),H$7:H$10,0),D$7,D$8,D$9,D$10),"empate")))</f>
        <v>A4</v>
      </c>
      <c r="E13" s="463"/>
      <c r="F13" s="463"/>
      <c r="G13" s="463"/>
      <c r="H13" s="463"/>
      <c r="I13" s="14"/>
      <c r="J13" s="13" t="s">
        <v>13</v>
      </c>
      <c r="K13" s="463" t="str">
        <f>IF(COUNTIF(O$7:O$10,"")&gt;2,"",IF(COUNTIF(O$7:O$10,"")=2,CHOOSE(MATCH(LARGE(O$7:O$10,2),O$7:O$10,0),K$7,K$8,K$9,K$10),IF(AND(LARGE(O$7:O$10,2)&lt;&gt;LARGE(O$7:O$10,1),LARGE(O$7:O$10,2)&lt;&gt;LARGE(O$7:O$10,3)),CHOOSE(MATCH(LARGE(O$7:O$10,2),O$7:O$10,0),K$7,K$8,K$9,K$10),"empate")))</f>
        <v/>
      </c>
      <c r="L13" s="463"/>
      <c r="M13" s="463"/>
      <c r="N13" s="463"/>
      <c r="O13" s="463"/>
      <c r="P13" s="14"/>
      <c r="Q13" s="13" t="s">
        <v>13</v>
      </c>
      <c r="R13" s="463" t="str">
        <f>IF(COUNTIF(V$7:V$10,"")&gt;2,"",IF(COUNTIF(V$7:V$10,"")=2,CHOOSE(MATCH(LARGE(V$7:V$10,2),V$7:V$10,0),R$7,R$8,R$9,R$10),IF(AND(LARGE(V$7:V$10,2)&lt;&gt;LARGE(V$7:V$10,1),LARGE(V$7:V$10,2)&lt;&gt;LARGE(V$7:V$10,3)),CHOOSE(MATCH(LARGE(V$7:V$10,2),V$7:V$10,0),R$7,R$8,R$9,R$10),"empate")))</f>
        <v/>
      </c>
      <c r="S13" s="463"/>
      <c r="T13" s="463"/>
      <c r="U13" s="463"/>
      <c r="V13" s="463"/>
      <c r="W13" s="14"/>
      <c r="X13" s="13" t="s">
        <v>13</v>
      </c>
      <c r="Y13" s="463" t="str">
        <f>IF(COUNTIF(AC$7:AC$10,"")&gt;2,"",IF(COUNTIF(AC$7:AC$10,"")=2,CHOOSE(MATCH(LARGE(AC$7:AC$10,2),AC$7:AC$10,0),Y$7,Y$8,Y$9,Y$10),IF(AND(LARGE(AC$7:AC$10,2)&lt;&gt;LARGE(AC$7:AC$10,1),LARGE(AC$7:AC$10,2)&lt;&gt;LARGE(AC$7:AC$10,3)),CHOOSE(MATCH(LARGE(AC$7:AC$10,2),AC$7:AC$10,0),Y$7,Y$8,Y$9,Y$10),"empate")))</f>
        <v/>
      </c>
      <c r="Z13" s="463"/>
      <c r="AA13" s="463"/>
      <c r="AB13" s="463"/>
      <c r="AC13" s="463"/>
      <c r="AD13" s="14"/>
      <c r="AE13" s="113"/>
      <c r="AG13" s="109">
        <f>$J$18</f>
        <v>4</v>
      </c>
      <c r="AH13" s="161"/>
      <c r="AI13" s="109">
        <f>$J$26</f>
        <v>20</v>
      </c>
      <c r="AJ13" s="161"/>
      <c r="AK13" s="109">
        <f>$V$56</f>
        <v>35</v>
      </c>
      <c r="AL13" s="161"/>
      <c r="AN13" s="323" t="s">
        <v>227</v>
      </c>
      <c r="AO13" s="321" t="str">
        <f>IF(D9="","",D9)</f>
        <v>A3</v>
      </c>
      <c r="AP13" s="324" t="str">
        <f>H9</f>
        <v/>
      </c>
      <c r="AQ13" s="324" t="str">
        <f>IF(AP13="","",(IF(F19="",0,F19)+IF(F21="",0,F21)+IF(F26="",0,F26))-(IF(F18="",0,F18)+IF(F20="",0,F20)+IF(F27="",0,F27)))</f>
        <v/>
      </c>
      <c r="AR13" s="324" t="str">
        <f>IF(AP13="","",(IF(F19="",0,SUM(G19:I19))+IF(F21="",0,SUM(G21:I21))+IF(F26="",0,SUM(G26:I26)))-(IF(F18="",0,SUM(G18:I18))+IF(F20="",0,SUM(G20:I20))+IF(F27="",0,SUM(G27:I27))))</f>
        <v/>
      </c>
      <c r="AS13" s="290"/>
      <c r="AT13" s="291"/>
      <c r="AU13" s="291"/>
      <c r="AV13" s="290"/>
      <c r="AW13" s="291"/>
      <c r="AX13" s="291"/>
      <c r="AY13" s="290"/>
    </row>
    <row r="14" spans="2:71" ht="15" customHeight="1" thickBot="1">
      <c r="B14" s="126"/>
      <c r="C14" s="6" t="s">
        <v>14</v>
      </c>
      <c r="D14" s="464" t="str">
        <f>IF(COUNTIF(H$7:H$10,"")&gt;=2,"",IF(COUNTIF(H$7:H$10,"")=1,IF(LARGE(H$7:H$10,3)&lt;&gt;LARGE(H$7:H$10,2),CHOOSE(MATCH(LARGE(H$7:H$10,3),H$7:H$10,0),D$7,D$8,D$9,D$10),"empate"),IF(AND(LARGE(H$7:H$10,3)&lt;&gt;LARGE(H$7:H$10,2),LARGE(H$7:H$10,3)&lt;&gt;LARGE(H$7:H$10,4)),CHOOSE(MATCH(LARGE(H$7:H$10,3),H$7:H$10,0),D$7,D$8,D$9,D$10),"empate")))</f>
        <v/>
      </c>
      <c r="E14" s="464"/>
      <c r="F14" s="464"/>
      <c r="G14" s="464"/>
      <c r="H14" s="464"/>
      <c r="I14" s="12"/>
      <c r="J14" s="15" t="s">
        <v>14</v>
      </c>
      <c r="K14" s="464" t="str">
        <f>IF(COUNTIF(O$7:O$10,"")&gt;=2,"",IF(COUNTIF(O$7:O$10,"")=1,IF(LARGE(O$7:O$10,3)&lt;&gt;LARGE(O$7:O$10,2),CHOOSE(MATCH(LARGE(O$7:O$10,3),O$7:O$10,0),K$7,K$8,K$9,K$10),"empate"),IF(AND(LARGE(O$7:O$10,3)&lt;&gt;LARGE(O$7:O$10,2),LARGE(O$7:O$10,3)&lt;&gt;LARGE(O$7:O$10,4)),CHOOSE(MATCH(LARGE(O$7:O$10,3),O$7:O$10,0),K$7,K$8,K$9,K$10),"empate")))</f>
        <v/>
      </c>
      <c r="L14" s="464"/>
      <c r="M14" s="464"/>
      <c r="N14" s="464"/>
      <c r="O14" s="464"/>
      <c r="P14" s="16"/>
      <c r="Q14" s="6" t="s">
        <v>14</v>
      </c>
      <c r="R14" s="464" t="str">
        <f>IF(COUNTIF(V$7:V$10,"")&gt;=2,"",IF(COUNTIF(V$7:V$10,"")=1,IF(LARGE(V$7:V$10,3)&lt;&gt;LARGE(V$7:V$10,2),CHOOSE(MATCH(LARGE(V$7:V$10,3),V$7:V$10,0),R$7,R$8,R$9,R$10),"empate"),IF(AND(LARGE(V$7:V$10,3)&lt;&gt;LARGE(V$7:V$10,2),LARGE(V$7:V$10,3)&lt;&gt;LARGE(V$7:V$10,4)),CHOOSE(MATCH(LARGE(V$7:V$10,3),V$7:V$10,0),R$7,R$8,R$9,R$10),"empate")))</f>
        <v/>
      </c>
      <c r="S14" s="464"/>
      <c r="T14" s="464"/>
      <c r="U14" s="464"/>
      <c r="V14" s="464"/>
      <c r="W14" s="12"/>
      <c r="X14" s="6" t="s">
        <v>14</v>
      </c>
      <c r="Y14" s="464" t="str">
        <f>IF(COUNTIF(AC$7:AC$10,"")&gt;=2,"",IF(COUNTIF(AC$7:AC$10,"")=1,IF(LARGE(AC$7:AC$10,3)&lt;&gt;LARGE(AC$7:AC$10,2),CHOOSE(MATCH(LARGE(AC$7:AC$10,3),AC$7:AC$10,0),Y$7,Y$8,Y$9,Y$10),"empate"),IF(AND(LARGE(AC$7:AC$10,3)&lt;&gt;LARGE(AC$7:AC$10,2),LARGE(AC$7:AC$10,3)&lt;&gt;LARGE(AC$7:AC$10,4)),CHOOSE(MATCH(LARGE(AC$7:AC$10,3),AC$7:AC$10,0),Y$7,Y$8,Y$9,Y$10),"empate")))</f>
        <v/>
      </c>
      <c r="Z14" s="464"/>
      <c r="AA14" s="464"/>
      <c r="AB14" s="464"/>
      <c r="AC14" s="464"/>
      <c r="AD14" s="12"/>
      <c r="AE14" s="113"/>
      <c r="AG14" s="109">
        <f>$Q$16</f>
        <v>5</v>
      </c>
      <c r="AH14" s="161"/>
      <c r="AI14" s="109">
        <f>$Q$24</f>
        <v>21</v>
      </c>
      <c r="AJ14" s="161"/>
      <c r="AK14" s="130">
        <f>$W$56</f>
        <v>36</v>
      </c>
      <c r="AL14" s="163"/>
      <c r="AN14" s="325" t="s">
        <v>251</v>
      </c>
      <c r="AO14" s="326" t="str">
        <f>IF(D10="","",D10)</f>
        <v>A4</v>
      </c>
      <c r="AP14" s="324">
        <f>H10</f>
        <v>0</v>
      </c>
      <c r="AQ14" s="326">
        <f>IF(AP14="","",(IF(F17="",0,F17)+IF(F20="",0,F20)+IF(F25="",0,F25))-(IF(F16="",0,F16)+IF(F21="",0,F21)+IF(F24="",0,F24)))</f>
        <v>-1</v>
      </c>
      <c r="AR14" s="326">
        <f>IF(AP14="","",(IF(F17="",0,SUM(G17:I17))+IF(F20="",0,SUM(G20:I20))+IF(F25="",0,SUM(G25:I25)))-(IF(F16="",0,SUM(G16:I16))+IF(F21="",0,SUM(G21:I21))+IF(F24="",0,SUM(G24:I24))))</f>
        <v>-6</v>
      </c>
      <c r="AS14" s="290"/>
      <c r="AT14" s="291"/>
      <c r="AU14" s="291"/>
      <c r="AV14" s="290"/>
      <c r="AW14" s="291"/>
      <c r="AX14" s="291"/>
      <c r="AY14" s="290"/>
    </row>
    <row r="15" spans="2:71" ht="19.5" customHeight="1" thickBot="1">
      <c r="B15" s="126"/>
      <c r="C15" s="17" t="s">
        <v>15</v>
      </c>
      <c r="D15" s="453" t="str">
        <f>IF(COUNTIF(H$7:H$10,"")&gt;=1,"",IF(LARGE(H$7:H$10,4)&lt;&gt;LARGE(H$7:H$10,3),CHOOSE(MATCH(LARGE(H$7:H$10,4),H$7:H$10,0),D$7,D$8,D$9,D$10),"empate"))</f>
        <v/>
      </c>
      <c r="E15" s="453"/>
      <c r="F15" s="453"/>
      <c r="G15" s="453"/>
      <c r="H15" s="453"/>
      <c r="I15" s="18"/>
      <c r="J15" s="19" t="s">
        <v>15</v>
      </c>
      <c r="K15" s="453" t="str">
        <f>IF(COUNTIF(O$7:O$10,"")&gt;=1,"",IF(LARGE(O$7:O$10,4)&lt;&gt;LARGE(O$7:O$10,3),CHOOSE(MATCH(LARGE(O$7:O$10,4),O$7:O$10,0),K$7,K$8,K$9,K$10),"empate"))</f>
        <v/>
      </c>
      <c r="L15" s="453"/>
      <c r="M15" s="453"/>
      <c r="N15" s="453"/>
      <c r="O15" s="453"/>
      <c r="P15" s="20"/>
      <c r="Q15" s="17" t="s">
        <v>15</v>
      </c>
      <c r="R15" s="453" t="str">
        <f>IF(COUNTIF(V$7:V$10,"")&gt;=1,"",IF(LARGE(V$7:V$10,4)&lt;&gt;LARGE(V$7:V$10,3),CHOOSE(MATCH(LARGE(V$7:V$10,4),V$7:V$10,0),R$7,R$8,R$9,R$10),"empate"))</f>
        <v/>
      </c>
      <c r="S15" s="453"/>
      <c r="T15" s="453"/>
      <c r="U15" s="453"/>
      <c r="V15" s="453"/>
      <c r="W15" s="18"/>
      <c r="X15" s="17" t="s">
        <v>15</v>
      </c>
      <c r="Y15" s="453" t="str">
        <f>IF(COUNTIF(AC$7:AC$10,"")&gt;=1,"",IF(LARGE(AC$7:AC$10,4)&lt;&gt;LARGE(AC$7:AC$10,3),CHOOSE(MATCH(LARGE(AC$7:AC$10,4),AC$7:AC$10,0),Y$7,Y$8,Y$9,Y$10),"empate"))</f>
        <v/>
      </c>
      <c r="Z15" s="453"/>
      <c r="AA15" s="453"/>
      <c r="AB15" s="453"/>
      <c r="AC15" s="453"/>
      <c r="AD15" s="18"/>
      <c r="AE15" s="113"/>
      <c r="AG15" s="109">
        <f>$Q$18</f>
        <v>6</v>
      </c>
      <c r="AH15" s="161"/>
      <c r="AI15" s="109">
        <f>$Q$26</f>
        <v>22</v>
      </c>
      <c r="AJ15" s="161"/>
      <c r="AK15" s="454" t="s">
        <v>223</v>
      </c>
      <c r="AL15" s="455"/>
      <c r="AN15" s="327" t="s">
        <v>228</v>
      </c>
      <c r="AO15" s="328" t="str">
        <f>IF(K7="","",K7)</f>
        <v>B1</v>
      </c>
      <c r="AP15" s="329" t="str">
        <f>O7</f>
        <v/>
      </c>
      <c r="AQ15" s="329" t="str">
        <f>IF(AP15="","",(IF(M16="",0,M16)+IF(M22="",0,M22)+IF(M27="",0,M27))-(IF(M17="",0,M17)+IF(M23="",0,M23)+IF(M26="",0,M26)))</f>
        <v/>
      </c>
      <c r="AR15" s="329" t="str">
        <f>IF(AP15="","",(IF(M16="",0,SUM(N16:P16))+IF(M22="",0,SUM(N22:P22))+IF(M27="",0,SUM(N27:P27)))-(IF(M17="",0,SUM(N17:P17))+IF(M23="",0,SUM(N23:P23))+IF(M26="",0,SUM(N26:P26))))</f>
        <v/>
      </c>
      <c r="AS15" s="290"/>
      <c r="AT15" s="291"/>
      <c r="AU15" s="291"/>
      <c r="AV15" s="290"/>
      <c r="AW15" s="291"/>
      <c r="AX15" s="291"/>
      <c r="AY15" s="290"/>
    </row>
    <row r="16" spans="2:71" ht="15" customHeight="1">
      <c r="B16" s="126"/>
      <c r="C16" s="456">
        <v>1</v>
      </c>
      <c r="D16" s="458" t="str">
        <f>IF(OR(D7="",D10=""),"",D7)</f>
        <v>Manuel P./João V. (AE Sertã)</v>
      </c>
      <c r="E16" s="458"/>
      <c r="F16" s="21">
        <f>IF(COUNT(G16:I16)&lt;1,"",IF(SUM(IF(G16&gt;G17,1,0),IF(H16&gt;H17,1,0),IF(I16&gt;I17,1,0))&gt;2,"??",SUM(IF(G16&gt;G17,1,0),IF(H16&gt;H17,1,0),IF(I16&gt;I17,1,0))))</f>
        <v>2</v>
      </c>
      <c r="G16" s="138">
        <v>21</v>
      </c>
      <c r="H16" s="139">
        <v>15</v>
      </c>
      <c r="I16" s="140">
        <v>21</v>
      </c>
      <c r="J16" s="459">
        <v>3</v>
      </c>
      <c r="K16" s="458" t="str">
        <f>IF(OR(K7="",K10=""),"",K7)</f>
        <v>B1</v>
      </c>
      <c r="L16" s="458"/>
      <c r="M16" s="21" t="str">
        <f>IF(COUNT(N16:P16)&lt;1,"",IF(SUM(IF(N16&gt;N17,1,0),IF(O16&gt;O17,1,0),IF(P16&gt;P17,1,0))&gt;2,"??",SUM(IF(N16&gt;N17,1,0),IF(O16&gt;O17,1,0),IF(P16&gt;P17,1,0))))</f>
        <v/>
      </c>
      <c r="N16" s="138"/>
      <c r="O16" s="139"/>
      <c r="P16" s="140"/>
      <c r="Q16" s="459">
        <v>5</v>
      </c>
      <c r="R16" s="458" t="str">
        <f>IF(OR(R7="",R10=""),"",R7)</f>
        <v>C1</v>
      </c>
      <c r="S16" s="458"/>
      <c r="T16" s="21" t="str">
        <f>IF(COUNT(U16:W16)&lt;1,"",IF(SUM(IF(U16&gt;U17,1,0),IF(V16&gt;V17,1,0),IF(W16&gt;W17,1,0))&gt;2,"??",SUM(IF(U16&gt;U17,1,0),IF(V16&gt;V17,1,0),IF(W16&gt;W17,1,0))))</f>
        <v/>
      </c>
      <c r="U16" s="138"/>
      <c r="V16" s="139"/>
      <c r="W16" s="140"/>
      <c r="X16" s="459">
        <v>7</v>
      </c>
      <c r="Y16" s="458" t="str">
        <f>IF(OR(Y7="",Y10=""),"",Y7)</f>
        <v>D1</v>
      </c>
      <c r="Z16" s="458"/>
      <c r="AA16" s="21" t="str">
        <f>IF(COUNT(AB16:AD16)&lt;1,"",IF(SUM(IF(AB16&gt;AB17,1,0),IF(AC16&gt;AC17,1,0),IF(AD16&gt;AD17,1,0))&gt;2,"??",SUM(IF(AB16&gt;AB17,1,0),IF(AC16&gt;AC17,1,0),IF(AD16&gt;AD17,1,0))))</f>
        <v/>
      </c>
      <c r="AB16" s="138"/>
      <c r="AC16" s="139"/>
      <c r="AD16" s="140"/>
      <c r="AE16" s="461" t="s">
        <v>43</v>
      </c>
      <c r="AG16" s="109">
        <f>$X$16</f>
        <v>7</v>
      </c>
      <c r="AH16" s="161"/>
      <c r="AI16" s="109">
        <f>$X$24</f>
        <v>23</v>
      </c>
      <c r="AJ16" s="161"/>
      <c r="AK16" s="159">
        <f>$O$70</f>
        <v>37</v>
      </c>
      <c r="AL16" s="160"/>
      <c r="AN16" s="330" t="s">
        <v>229</v>
      </c>
      <c r="AO16" s="331" t="str">
        <f>IF(K8="","",K8)</f>
        <v>B2</v>
      </c>
      <c r="AP16" s="331" t="str">
        <f>O8</f>
        <v/>
      </c>
      <c r="AQ16" s="331" t="str">
        <f>IF(AP16="","",(IF(M18="",0,M18)+IF(M23="",0,M23)+IF(M24="",0,M24))-(IF(M19="",0,M19)+IF(M22="",0,M22)+IF(M25="",0,M25)))</f>
        <v/>
      </c>
      <c r="AR16" s="331" t="str">
        <f>IF(AP16="","",(IF(M18="",0,SUM(N18:P18))+IF(M23="",0,SUM(N23:P23))+IF(M24="",0,SUM(N24:P24)))-(IF(M19="",0,SUM(N19:P19))+IF(M22="",0,SUM(N22:P22))+IF(M25="",0,SUM(N25:P25))))</f>
        <v/>
      </c>
      <c r="AS16" s="290"/>
      <c r="AT16" s="317"/>
      <c r="AU16" s="291"/>
      <c r="AV16" s="290"/>
      <c r="AW16" s="291"/>
      <c r="AX16" s="291"/>
      <c r="AY16" s="290"/>
    </row>
    <row r="17" spans="2:51" ht="15" customHeight="1">
      <c r="B17" s="126"/>
      <c r="C17" s="457"/>
      <c r="D17" s="437" t="str">
        <f>IF(OR(D7="",D10=""),"",D10)</f>
        <v>A4</v>
      </c>
      <c r="E17" s="437"/>
      <c r="F17" s="22">
        <f>IF(COUNT(G17:I17)&lt;1,"",IF(SUM(IF(G17&gt;G16,1,0),IF(H17&gt;H16,1,0),IF(I17&gt;I16,1,0))&gt;2,"??",SUM(IF(G17&gt;G16,1,0),IF(H17&gt;H16,1,0),IF(I17&gt;I16,1,0))))</f>
        <v>1</v>
      </c>
      <c r="G17" s="141">
        <v>12</v>
      </c>
      <c r="H17" s="142">
        <v>21</v>
      </c>
      <c r="I17" s="143">
        <v>18</v>
      </c>
      <c r="J17" s="460"/>
      <c r="K17" s="437" t="str">
        <f>IF(OR(K7="",K10=""),"",K10)</f>
        <v>B4</v>
      </c>
      <c r="L17" s="437"/>
      <c r="M17" s="22" t="str">
        <f>IF(COUNT(N17:P17)&lt;1,"",IF(SUM(IF(N17&gt;N16,1,0),IF(O17&gt;O16,1,0),IF(P17&gt;P16,1,0))&gt;2,"??",SUM(IF(N17&gt;N16,1,0),IF(O17&gt;O16,1,0),IF(P17&gt;P16,1,0))))</f>
        <v/>
      </c>
      <c r="N17" s="141"/>
      <c r="O17" s="142"/>
      <c r="P17" s="143"/>
      <c r="Q17" s="460"/>
      <c r="R17" s="437" t="str">
        <f>IF(OR(R7="",R10=""),"",R10)</f>
        <v>C4</v>
      </c>
      <c r="S17" s="437"/>
      <c r="T17" s="22" t="str">
        <f>IF(COUNT(U17:W17)&lt;1,"",IF(SUM(IF(U17&gt;U16,1,0),IF(V17&gt;V16,1,0),IF(W17&gt;W16,1,0))&gt;2,"??",SUM(IF(U17&gt;U16,1,0),IF(V17&gt;V16,1,0),IF(W17&gt;W16,1,0))))</f>
        <v/>
      </c>
      <c r="U17" s="141"/>
      <c r="V17" s="142"/>
      <c r="W17" s="143"/>
      <c r="X17" s="460"/>
      <c r="Y17" s="437" t="str">
        <f>IF(OR(Y7="",Y10=""),"",Y10)</f>
        <v>D4</v>
      </c>
      <c r="Z17" s="437"/>
      <c r="AA17" s="22" t="str">
        <f>IF(COUNT(AB17:AD17)&lt;1,"",IF(SUM(IF(AB17&gt;AB16,1,0),IF(AC17&gt;AC16,1,0),IF(AD17&gt;AD16,1,0))&gt;2,"??",SUM(IF(AB17&gt;AB16,1,0),IF(AC17&gt;AC16,1,0),IF(AD17&gt;AD16,1,0))))</f>
        <v/>
      </c>
      <c r="AB17" s="141"/>
      <c r="AC17" s="142"/>
      <c r="AD17" s="143"/>
      <c r="AE17" s="435"/>
      <c r="AG17" s="109">
        <f>$X$18</f>
        <v>8</v>
      </c>
      <c r="AH17" s="161"/>
      <c r="AI17" s="109">
        <f>$X$26</f>
        <v>24</v>
      </c>
      <c r="AJ17" s="161"/>
      <c r="AK17" s="109">
        <f>$O$78</f>
        <v>38</v>
      </c>
      <c r="AL17" s="161"/>
      <c r="AN17" s="330" t="s">
        <v>230</v>
      </c>
      <c r="AO17" s="331" t="str">
        <f>IF(K9="","",K9)</f>
        <v>B3</v>
      </c>
      <c r="AP17" s="331" t="str">
        <f>O9</f>
        <v/>
      </c>
      <c r="AQ17" s="331" t="str">
        <f>IF(AP17="","",(IF(M19="",0,M19)+IF(M21="",0,M21)+IF(M26="",0,M26))-(IF(M18="",0,M18)+IF(M20="",0,M20)+IF(M27="",0,M27)))</f>
        <v/>
      </c>
      <c r="AR17" s="331" t="str">
        <f>IF(AP17="","",(IF(M19="",0,SUM(N19:P19))+IF(M21="",0,SUM(N21:P21))+IF(M26="",0,SUM(N26:P26)))-(IF(M18="",0,SUM(N18:P18))+IF(M20="",0,SUM(N20:P20))+IF(M27="",0,SUM(N27:P27))))</f>
        <v/>
      </c>
      <c r="AS17" s="290"/>
      <c r="AT17" s="291"/>
      <c r="AU17" s="291"/>
      <c r="AV17" s="290"/>
      <c r="AW17" s="291"/>
      <c r="AX17" s="291"/>
      <c r="AY17" s="290"/>
    </row>
    <row r="18" spans="2:51" ht="15" customHeight="1">
      <c r="B18" s="126"/>
      <c r="C18" s="428">
        <v>2</v>
      </c>
      <c r="D18" s="430" t="str">
        <f>IF(OR(D8="",D9=""),"",D8)</f>
        <v>A2</v>
      </c>
      <c r="E18" s="430"/>
      <c r="F18" s="23" t="str">
        <f>IF(COUNT(G18:I18)&lt;1,"",IF(SUM(IF(G18&gt;G19,1,0),IF(H18&gt;H19,1,0),IF(I18&gt;I19,1,0))&gt;2,"??",SUM(IF(G18&gt;G19,1,0),IF(H18&gt;H19,1,0),IF(I18&gt;I19,1,0))))</f>
        <v/>
      </c>
      <c r="G18" s="144"/>
      <c r="H18" s="145"/>
      <c r="I18" s="146"/>
      <c r="J18" s="428">
        <v>4</v>
      </c>
      <c r="K18" s="430" t="str">
        <f>IF(OR(K8="",K9=""),"",K8)</f>
        <v>B2</v>
      </c>
      <c r="L18" s="430"/>
      <c r="M18" s="23" t="str">
        <f>IF(COUNT(N18:P18)&lt;1,"",IF(SUM(IF(N18&gt;N19,1,0),IF(O18&gt;O19,1,0),IF(P18&gt;P19,1,0))&gt;2,"??",SUM(IF(N18&gt;N19,1,0),IF(O18&gt;O19,1,0),IF(P18&gt;P19,1,0))))</f>
        <v/>
      </c>
      <c r="N18" s="144"/>
      <c r="O18" s="145"/>
      <c r="P18" s="146"/>
      <c r="Q18" s="428">
        <v>6</v>
      </c>
      <c r="R18" s="430" t="str">
        <f>IF(OR(R8="",R9=""),"",R8)</f>
        <v>C2</v>
      </c>
      <c r="S18" s="430"/>
      <c r="T18" s="23" t="str">
        <f>IF(COUNT(U18:W18)&lt;1,"",IF(SUM(IF(U18&gt;U19,1,0),IF(V18&gt;V19,1,0),IF(W18&gt;W19,1,0))&gt;2,"??",SUM(IF(U18&gt;U19,1,0),IF(V18&gt;V19,1,0),IF(W18&gt;W19,1,0))))</f>
        <v/>
      </c>
      <c r="U18" s="144"/>
      <c r="V18" s="145"/>
      <c r="W18" s="146"/>
      <c r="X18" s="428">
        <v>8</v>
      </c>
      <c r="Y18" s="430" t="str">
        <f>IF(OR(Y8="",Y9=""),"",Y8)</f>
        <v>D2</v>
      </c>
      <c r="Z18" s="430"/>
      <c r="AA18" s="23" t="str">
        <f>IF(COUNT(AB18:AD18)&lt;1,"",IF(SUM(IF(AB18&gt;AB19,1,0),IF(AC18&gt;AC19,1,0),IF(AD18&gt;AD19,1,0))&gt;2,"??",SUM(IF(AB18&gt;AB19,1,0),IF(AC18&gt;AC19,1,0),IF(AD18&gt;AD19,1,0))))</f>
        <v/>
      </c>
      <c r="AB18" s="144"/>
      <c r="AC18" s="145"/>
      <c r="AD18" s="146"/>
      <c r="AE18" s="435"/>
      <c r="AG18" s="131">
        <f>$C$20</f>
        <v>9</v>
      </c>
      <c r="AH18" s="162"/>
      <c r="AI18" s="131">
        <f>$H$31</f>
        <v>25</v>
      </c>
      <c r="AJ18" s="162"/>
      <c r="AK18" s="109">
        <f>$V$74</f>
        <v>39</v>
      </c>
      <c r="AL18" s="161"/>
      <c r="AN18" s="332" t="s">
        <v>231</v>
      </c>
      <c r="AO18" s="333" t="str">
        <f>IF(K10="","",K10)</f>
        <v>B4</v>
      </c>
      <c r="AP18" s="331" t="str">
        <f>O10</f>
        <v/>
      </c>
      <c r="AQ18" s="333" t="str">
        <f>IF(AP18="","",(IF(M17="",0,M17)+IF(M20="",0,M20)+IF(M25="",0,M25))-(IF(M16="",0,M16)+IF(M21="",0,M21)+IF(M24="",0,M24)))</f>
        <v/>
      </c>
      <c r="AR18" s="333" t="str">
        <f>IF(AP18="","",(IF(M17="",0,SUM(N17:P17))+IF(M20="",0,SUM(N20:P20))+IF(M25="",0,SUM(N25:P25)))-(IF(M16="",0,SUM(N16:P16))+IF(M21="",0,SUM(N21:P21))+IF(M24="",0,SUM(N24:P24))))</f>
        <v/>
      </c>
      <c r="AS18" s="290"/>
      <c r="AT18" s="291"/>
      <c r="AU18" s="291"/>
      <c r="AV18" s="290"/>
      <c r="AW18" s="291"/>
      <c r="AX18" s="291"/>
      <c r="AY18" s="290"/>
    </row>
    <row r="19" spans="2:51" ht="15" customHeight="1" thickBot="1">
      <c r="B19" s="126"/>
      <c r="C19" s="451"/>
      <c r="D19" s="452" t="str">
        <f>IF(OR(D8="",D9=""),"",D9)</f>
        <v>A3</v>
      </c>
      <c r="E19" s="452"/>
      <c r="F19" s="24" t="str">
        <f>IF(COUNT(G19:I19)&lt;1,"",IF(SUM(IF(G19&gt;G18,1,0),IF(H19&gt;H18,1,0),IF(I19&gt;I18,1,0))&gt;2,"??",SUM(IF(G19&gt;G18,1,0),IF(H19&gt;H18,1,0),IF(I19&gt;I18,1,0))))</f>
        <v/>
      </c>
      <c r="G19" s="147"/>
      <c r="H19" s="148"/>
      <c r="I19" s="149"/>
      <c r="J19" s="451"/>
      <c r="K19" s="452" t="str">
        <f>IF(OR(K8="",K9=""),"",K9)</f>
        <v>B3</v>
      </c>
      <c r="L19" s="452"/>
      <c r="M19" s="24" t="str">
        <f>IF(COUNT(N19:P19)&lt;1,"",IF(SUM(IF(N19&gt;N18,1,0),IF(O19&gt;O18,1,0),IF(P19&gt;P18,1,0))&gt;2,"??",SUM(IF(N19&gt;N18,1,0),IF(O19&gt;O18,1,0),IF(P19&gt;P18,1,0))))</f>
        <v/>
      </c>
      <c r="N19" s="147"/>
      <c r="O19" s="148"/>
      <c r="P19" s="149"/>
      <c r="Q19" s="451"/>
      <c r="R19" s="452" t="str">
        <f>IF(OR(R8="",R9=""),"",R9)</f>
        <v>C3</v>
      </c>
      <c r="S19" s="452"/>
      <c r="T19" s="24" t="str">
        <f>IF(COUNT(U19:W19)&lt;1,"",IF(SUM(IF(U19&gt;U18,1,0),IF(V19&gt;V18,1,0),IF(W19&gt;W18,1,0))&gt;2,"??",SUM(IF(U19&gt;U18,1,0),IF(V19&gt;V18,1,0),IF(W19&gt;W18,1,0))))</f>
        <v/>
      </c>
      <c r="U19" s="147"/>
      <c r="V19" s="148"/>
      <c r="W19" s="149"/>
      <c r="X19" s="451"/>
      <c r="Y19" s="452" t="str">
        <f>IF(OR(Y8="",Y9=""),"",Y9)</f>
        <v>D3</v>
      </c>
      <c r="Z19" s="452"/>
      <c r="AA19" s="24" t="str">
        <f>IF(COUNT(AB19:AD19)&lt;1,"",IF(SUM(IF(AB19&gt;AB18,1,0),IF(AC19&gt;AC18,1,0),IF(AD19&gt;AD18,1,0))&gt;2,"??",SUM(IF(AB19&gt;AB18,1,0),IF(AC19&gt;AC18,1,0),IF(AD19&gt;AD18,1,0))))</f>
        <v/>
      </c>
      <c r="AB19" s="147"/>
      <c r="AC19" s="148"/>
      <c r="AD19" s="149"/>
      <c r="AE19" s="462"/>
      <c r="AG19" s="109">
        <f>$C$22</f>
        <v>10</v>
      </c>
      <c r="AH19" s="161"/>
      <c r="AI19" s="109">
        <f>$H$35</f>
        <v>26</v>
      </c>
      <c r="AJ19" s="161"/>
      <c r="AK19" s="130">
        <f>$W$74</f>
        <v>40</v>
      </c>
      <c r="AL19" s="163"/>
      <c r="AN19" s="334" t="s">
        <v>232</v>
      </c>
      <c r="AO19" s="322" t="str">
        <f>IF(R7="","",R7)</f>
        <v>C1</v>
      </c>
      <c r="AP19" s="322" t="str">
        <f>V7</f>
        <v/>
      </c>
      <c r="AQ19" s="335" t="str">
        <f>IF(AP19="","",(IF(T16="",0,T16)+IF(T22="",0,T22)+IF(T27="",0,T27))-(IF(T17="",0,T17)+IF(T23="",0,T23)+IF(T26="",0,T26)))</f>
        <v/>
      </c>
      <c r="AR19" s="322" t="str">
        <f>IF(AP19="","",(IF(T16="",0,SUM(U16:W16))+IF(T22="",0,SUM(U22:W22))+IF(T27="",0,SUM(U27:W27)))-(IF(T17="",0,SUM(U17:W17))+IF(T23="",0,SUM(U23:W23))+IF(T26="",0,SUM(U26:W26))))</f>
        <v/>
      </c>
      <c r="AS19" s="290"/>
      <c r="AT19" s="291"/>
      <c r="AU19" s="291"/>
      <c r="AV19" s="290"/>
      <c r="AW19" s="291"/>
      <c r="AX19" s="291"/>
      <c r="AY19" s="290"/>
    </row>
    <row r="20" spans="2:51" ht="15" customHeight="1" thickTop="1" thickBot="1">
      <c r="B20" s="126"/>
      <c r="C20" s="448">
        <v>9</v>
      </c>
      <c r="D20" s="450" t="str">
        <f>IF(OR(D9="",D10=""),"",D10)</f>
        <v>A4</v>
      </c>
      <c r="E20" s="450"/>
      <c r="F20" s="25" t="str">
        <f>IF(COUNT(G20:I20)&lt;1,"",IF(SUM(IF(G20&gt;G21,1,0),IF(H20&gt;H21,1,0),IF(I20&gt;I21,1,0))&gt;2,"??",SUM(IF(G20&gt;G21,1,0),IF(H20&gt;H21,1,0),IF(I20&gt;I21,1,0))))</f>
        <v/>
      </c>
      <c r="G20" s="150"/>
      <c r="H20" s="151"/>
      <c r="I20" s="152"/>
      <c r="J20" s="448">
        <v>11</v>
      </c>
      <c r="K20" s="450" t="str">
        <f>IF(OR(K9="",K10=""),"",K10)</f>
        <v>B4</v>
      </c>
      <c r="L20" s="450"/>
      <c r="M20" s="25" t="str">
        <f>IF(COUNT(N20:P20)&lt;1,"",IF(SUM(IF(N20&gt;N21,1,0),IF(O20&gt;O21,1,0),IF(P20&gt;P21,1,0))&gt;2,"??",SUM(IF(N20&gt;N21,1,0),IF(O20&gt;O21,1,0),IF(P20&gt;P21,1,0))))</f>
        <v/>
      </c>
      <c r="N20" s="150"/>
      <c r="O20" s="151"/>
      <c r="P20" s="152"/>
      <c r="Q20" s="448">
        <v>13</v>
      </c>
      <c r="R20" s="450" t="str">
        <f>IF(OR(R9="",R10=""),"",R10)</f>
        <v>C4</v>
      </c>
      <c r="S20" s="450"/>
      <c r="T20" s="25" t="str">
        <f>IF(COUNT(U20:W20)&lt;1,"",IF(SUM(IF(U20&gt;U21,1,0),IF(V20&gt;V21,1,0),IF(W20&gt;W21,1,0))&gt;2,"??",SUM(IF(U20&gt;U21,1,0),IF(V20&gt;V21,1,0),IF(W20&gt;W21,1,0))))</f>
        <v/>
      </c>
      <c r="U20" s="150"/>
      <c r="V20" s="151"/>
      <c r="W20" s="152"/>
      <c r="X20" s="448">
        <v>15</v>
      </c>
      <c r="Y20" s="450" t="str">
        <f>IF(OR(Y9="",Y10=""),"",Y10)</f>
        <v>D4</v>
      </c>
      <c r="Z20" s="450"/>
      <c r="AA20" s="25" t="str">
        <f>IF(COUNT(AB20:AD20)&lt;1,"",IF(SUM(IF(AB20&gt;AB21,1,0),IF(AC20&gt;AC21,1,0),IF(AD20&gt;AD21,1,0))&gt;2,"??",SUM(IF(AB20&gt;AB21,1,0),IF(AC20&gt;AC21,1,0),IF(AD20&gt;AD21,1,0))))</f>
        <v/>
      </c>
      <c r="AB20" s="150"/>
      <c r="AC20" s="151"/>
      <c r="AD20" s="152"/>
      <c r="AE20" s="442" t="s">
        <v>44</v>
      </c>
      <c r="AG20" s="109">
        <f>$J$20</f>
        <v>11</v>
      </c>
      <c r="AH20" s="161"/>
      <c r="AI20" s="109">
        <f>$H$39</f>
        <v>27</v>
      </c>
      <c r="AJ20" s="161"/>
      <c r="AK20" s="445" t="s">
        <v>246</v>
      </c>
      <c r="AL20" s="446"/>
      <c r="AN20" s="323" t="s">
        <v>233</v>
      </c>
      <c r="AO20" s="324" t="str">
        <f>IF(R8="","",R8)</f>
        <v>C2</v>
      </c>
      <c r="AP20" s="324" t="str">
        <f>V8</f>
        <v/>
      </c>
      <c r="AQ20" s="336" t="str">
        <f>IF(AP20="","",(IF(T18="",0,T18)+IF(T23="",0,T23)+IF(T24="",0,T24))-(IF(T19="",0,T19)+IF(T22="",0,T22)+IF(T25="",0,T25)))</f>
        <v/>
      </c>
      <c r="AR20" s="324" t="str">
        <f>IF(AP20="","",(IF(T18="",0,SUM(U18:W18))+IF(T23="",0,SUM(U23:W23))+IF(T24="",0,SUM(U24:W24)))-(IF(T19="",0,SUM(U19:W19))+IF(T22="",0,SUM(U22:W22))+IF(T25="",0,SUM(U25:W25))))</f>
        <v/>
      </c>
      <c r="AS20" s="290"/>
      <c r="AT20" s="291"/>
      <c r="AU20" s="291"/>
      <c r="AV20" s="290"/>
      <c r="AW20" s="291"/>
      <c r="AX20" s="291"/>
      <c r="AY20" s="290"/>
    </row>
    <row r="21" spans="2:51" ht="15" customHeight="1">
      <c r="B21" s="126"/>
      <c r="C21" s="449"/>
      <c r="D21" s="447" t="str">
        <f>IF(OR(D9="",D10=""),"",D9)</f>
        <v>A3</v>
      </c>
      <c r="E21" s="447"/>
      <c r="F21" s="26" t="str">
        <f>IF(COUNT(G21:I21)&lt;1,"",IF(SUM(IF(G21&gt;G20,1,0),IF(H21&gt;H20,1,0),IF(I21&gt;I20,1,0))&gt;2,"??",SUM(IF(G21&gt;G20,1,0),IF(H21&gt;H20,1,0),IF(I21&gt;I20,1,0))))</f>
        <v/>
      </c>
      <c r="G21" s="141"/>
      <c r="H21" s="142"/>
      <c r="I21" s="143"/>
      <c r="J21" s="449"/>
      <c r="K21" s="447" t="str">
        <f>IF(OR(K9="",K10=""),"",K9)</f>
        <v>B3</v>
      </c>
      <c r="L21" s="447"/>
      <c r="M21" s="26" t="str">
        <f>IF(COUNT(N21:P21)&lt;1,"",IF(SUM(IF(N21&gt;N20,1,0),IF(O21&gt;O20,1,0),IF(P21&gt;P20,1,0))&gt;2,"??",SUM(IF(N21&gt;N20,1,0),IF(O21&gt;O20,1,0),IF(P21&gt;P20,1,0))))</f>
        <v/>
      </c>
      <c r="N21" s="141"/>
      <c r="O21" s="142"/>
      <c r="P21" s="143"/>
      <c r="Q21" s="449"/>
      <c r="R21" s="447" t="str">
        <f>IF(OR(R9="",R10=""),"",R9)</f>
        <v>C3</v>
      </c>
      <c r="S21" s="447"/>
      <c r="T21" s="26" t="str">
        <f>IF(COUNT(U21:W21)&lt;1,"",IF(SUM(IF(U21&gt;U20,1,0),IF(V21&gt;V20,1,0),IF(W21&gt;W20,1,0))&gt;2,"??",SUM(IF(U21&gt;U20,1,0),IF(V21&gt;V20,1,0),IF(W21&gt;W20,1,0))))</f>
        <v/>
      </c>
      <c r="U21" s="141"/>
      <c r="V21" s="142"/>
      <c r="W21" s="143"/>
      <c r="X21" s="449"/>
      <c r="Y21" s="447" t="str">
        <f>IF(OR(Y9="",Y10=""),"",Y9)</f>
        <v>D3</v>
      </c>
      <c r="Z21" s="447"/>
      <c r="AA21" s="26" t="str">
        <f>IF(COUNT(AB21:AD21)&lt;1,"",IF(SUM(IF(AB21&gt;AB20,1,0),IF(AC21&gt;AC20,1,0),IF(AD21&gt;AD20,1,0))&gt;2,"??",SUM(IF(AB21&gt;AB20,1,0),IF(AC21&gt;AC20,1,0),IF(AD21&gt;AD20,1,0))))</f>
        <v/>
      </c>
      <c r="AB21" s="141"/>
      <c r="AC21" s="142"/>
      <c r="AD21" s="143"/>
      <c r="AE21" s="443"/>
      <c r="AG21" s="109">
        <f>$J$22</f>
        <v>12</v>
      </c>
      <c r="AH21" s="161"/>
      <c r="AI21" s="109">
        <f>$H$43</f>
        <v>28</v>
      </c>
      <c r="AJ21" s="161"/>
      <c r="AK21" s="159">
        <f>$O$88</f>
        <v>41</v>
      </c>
      <c r="AL21" s="160"/>
      <c r="AN21" s="323" t="s">
        <v>234</v>
      </c>
      <c r="AO21" s="324" t="str">
        <f>IF(R9="","",R9)</f>
        <v>C3</v>
      </c>
      <c r="AP21" s="324" t="str">
        <f>V9</f>
        <v/>
      </c>
      <c r="AQ21" s="336" t="str">
        <f>IF(AP21="","",(IF(T19="",0,T19)+IF(T21="",0,T21)+IF(T26="",0,T26))-(IF(T18="",0,T18)+IF(T20="",0,T20)+IF(T27="",0,T27)))</f>
        <v/>
      </c>
      <c r="AR21" s="324" t="str">
        <f>IF(AP21="","",(IF(T19="",0,SUM(U19:W19))+IF(T21="",0,SUM(U21:W21))+IF(T26="",0,SUM(U26:W26)))-(IF(T18="",0,SUM(U18:W18))+IF(T20="",0,SUM(U20:W20))+IF(T27="",0,SUM(U27:W27))))</f>
        <v/>
      </c>
      <c r="AS21" s="290"/>
      <c r="AT21" s="291"/>
      <c r="AU21" s="291"/>
      <c r="AV21" s="290"/>
      <c r="AW21" s="291"/>
      <c r="AX21" s="291"/>
      <c r="AY21" s="290"/>
    </row>
    <row r="22" spans="2:51" ht="15" customHeight="1">
      <c r="B22" s="126"/>
      <c r="C22" s="438">
        <v>10</v>
      </c>
      <c r="D22" s="440" t="str">
        <f>IF(OR(D7="",D8=""),"",D7)</f>
        <v>Manuel P./João V. (AE Sertã)</v>
      </c>
      <c r="E22" s="440"/>
      <c r="F22" s="27" t="str">
        <f>IF(COUNT(G22:I22)&lt;1,"",IF(SUM(IF(G22&gt;G23,1,0),IF(H22&gt;H23,1,0),IF(I22&gt;I23,1,0))&gt;2,"??",SUM(IF(G22&gt;G23,1,0),IF(H22&gt;H23,1,0),IF(I22&gt;I23,1,0))))</f>
        <v/>
      </c>
      <c r="G22" s="144"/>
      <c r="H22" s="145"/>
      <c r="I22" s="146"/>
      <c r="J22" s="438">
        <v>12</v>
      </c>
      <c r="K22" s="440" t="str">
        <f>IF(OR(K7="",K8=""),"",K7)</f>
        <v>B1</v>
      </c>
      <c r="L22" s="440"/>
      <c r="M22" s="27" t="str">
        <f>IF(COUNT(N22:P22)&lt;1,"",IF(SUM(IF(N22&gt;N23,1,0),IF(O22&gt;O23,1,0),IF(P22&gt;P23,1,0))&gt;2,"??",SUM(IF(N22&gt;N23,1,0),IF(O22&gt;O23,1,0),IF(P22&gt;P23,1,0))))</f>
        <v/>
      </c>
      <c r="N22" s="144"/>
      <c r="O22" s="145"/>
      <c r="P22" s="146"/>
      <c r="Q22" s="438">
        <v>14</v>
      </c>
      <c r="R22" s="440" t="str">
        <f>IF(OR(R7="",R8=""),"",R7)</f>
        <v>C1</v>
      </c>
      <c r="S22" s="440"/>
      <c r="T22" s="27" t="str">
        <f>IF(COUNT(U22:W22)&lt;1,"",IF(SUM(IF(U22&gt;U23,1,0),IF(V22&gt;V23,1,0),IF(W22&gt;W23,1,0))&gt;2,"??",SUM(IF(U22&gt;U23,1,0),IF(V22&gt;V23,1,0),IF(W22&gt;W23,1,0))))</f>
        <v/>
      </c>
      <c r="U22" s="144"/>
      <c r="V22" s="145"/>
      <c r="W22" s="146"/>
      <c r="X22" s="438">
        <v>16</v>
      </c>
      <c r="Y22" s="440" t="str">
        <f>IF(OR(Y7="",Y8=""),"",Y7)</f>
        <v>D1</v>
      </c>
      <c r="Z22" s="440"/>
      <c r="AA22" s="27" t="str">
        <f>IF(COUNT(AB22:AD22)&lt;1,"",IF(SUM(IF(AB22&gt;AB23,1,0),IF(AC22&gt;AC23,1,0),IF(AD22&gt;AD23,1,0))&gt;2,"??",SUM(IF(AB22&gt;AB23,1,0),IF(AC22&gt;AC23,1,0),IF(AD22&gt;AD23,1,0))))</f>
        <v/>
      </c>
      <c r="AB22" s="144"/>
      <c r="AC22" s="145"/>
      <c r="AD22" s="146"/>
      <c r="AE22" s="443"/>
      <c r="AG22" s="109">
        <f>$Q$20</f>
        <v>13</v>
      </c>
      <c r="AH22" s="161"/>
      <c r="AI22" s="109">
        <f>$O$33</f>
        <v>29</v>
      </c>
      <c r="AJ22" s="161"/>
      <c r="AK22" s="109">
        <f>$O$96</f>
        <v>42</v>
      </c>
      <c r="AL22" s="161"/>
      <c r="AN22" s="337" t="s">
        <v>235</v>
      </c>
      <c r="AO22" s="326" t="str">
        <f>IF(R10="","",R10)</f>
        <v>C4</v>
      </c>
      <c r="AP22" s="326" t="str">
        <f>V10</f>
        <v/>
      </c>
      <c r="AQ22" s="338" t="str">
        <f>IF(AP22="","",(IF(T17="",0,T17)+IF(T20="",0,T20)+IF(T25="",0,T25))-(IF(T16="",0,T16)+IF(T21="",0,T21)+IF(T24="",0,T24)))</f>
        <v/>
      </c>
      <c r="AR22" s="326" t="str">
        <f>IF(AP22="","",(IF(T17="",0,SUM(U17:W17))+IF(T20="",0,SUM(U20:W20))+IF(T25="",0,SUM(U25:W25)))-(IF(T16="",0,SUM(U16:W16))+IF(T21="",0,SUM(U21:W21))+IF(T24="",0,SUM(U24:W24))))</f>
        <v/>
      </c>
      <c r="AS22" s="290"/>
      <c r="AT22" s="291"/>
      <c r="AU22" s="291"/>
      <c r="AV22" s="290"/>
      <c r="AW22" s="291"/>
      <c r="AX22" s="291"/>
      <c r="AY22" s="290"/>
    </row>
    <row r="23" spans="2:51" ht="15" customHeight="1" thickBot="1">
      <c r="B23" s="126"/>
      <c r="C23" s="439"/>
      <c r="D23" s="441" t="str">
        <f>IF(OR(D7="",D8=""),"",D8)</f>
        <v>A2</v>
      </c>
      <c r="E23" s="441"/>
      <c r="F23" s="28" t="str">
        <f>IF(COUNT(G23:I23)&lt;1,"",IF(SUM(IF(G23&gt;G22,1,0),IF(H23&gt;H22,1,0),IF(I23&gt;I22,1,0))&gt;2,"??",SUM(IF(G23&gt;G22,1,0),IF(H23&gt;H22,1,0),IF(I23&gt;I22,1,0))))</f>
        <v/>
      </c>
      <c r="G23" s="153"/>
      <c r="H23" s="154"/>
      <c r="I23" s="155"/>
      <c r="J23" s="439"/>
      <c r="K23" s="441" t="str">
        <f>IF(OR(K7="",K8=""),"",K8)</f>
        <v>B2</v>
      </c>
      <c r="L23" s="441"/>
      <c r="M23" s="28" t="str">
        <f>IF(COUNT(N23:P23)&lt;1,"",IF(SUM(IF(N23&gt;N22,1,0),IF(O23&gt;O22,1,0),IF(P23&gt;P22,1,0))&gt;2,"??",SUM(IF(N23&gt;N22,1,0),IF(O23&gt;O22,1,0),IF(P23&gt;P22,1,0))))</f>
        <v/>
      </c>
      <c r="N23" s="153"/>
      <c r="O23" s="154"/>
      <c r="P23" s="155"/>
      <c r="Q23" s="439"/>
      <c r="R23" s="441" t="str">
        <f>IF(OR(R7="",R8=""),"",R8)</f>
        <v>C2</v>
      </c>
      <c r="S23" s="441"/>
      <c r="T23" s="28" t="str">
        <f>IF(COUNT(U23:W23)&lt;1,"",IF(SUM(IF(U23&gt;U22,1,0),IF(V23&gt;V22,1,0),IF(W23&gt;W22,1,0))&gt;2,"??",SUM(IF(U23&gt;U22,1,0),IF(V23&gt;V22,1,0),IF(W23&gt;W22,1,0))))</f>
        <v/>
      </c>
      <c r="U23" s="153"/>
      <c r="V23" s="154"/>
      <c r="W23" s="155"/>
      <c r="X23" s="439"/>
      <c r="Y23" s="441" t="str">
        <f>IF(OR(Y7="",Y8=""),"",Y8)</f>
        <v>D2</v>
      </c>
      <c r="Z23" s="441"/>
      <c r="AA23" s="28" t="str">
        <f>IF(COUNT(AB23:AD23)&lt;1,"",IF(SUM(IF(AB23&gt;AB22,1,0),IF(AC23&gt;AC22,1,0),IF(AD23&gt;AD22,1,0))&gt;2,"??",SUM(IF(AB23&gt;AB22,1,0),IF(AC23&gt;AC22,1,0),IF(AD23&gt;AD22,1,0))))</f>
        <v/>
      </c>
      <c r="AB23" s="153"/>
      <c r="AC23" s="154"/>
      <c r="AD23" s="155"/>
      <c r="AE23" s="444"/>
      <c r="AG23" s="109">
        <f>$Q$22</f>
        <v>14</v>
      </c>
      <c r="AH23" s="161"/>
      <c r="AI23" s="109">
        <f>$O$41</f>
        <v>30</v>
      </c>
      <c r="AJ23" s="161"/>
      <c r="AK23" s="109">
        <f>$V$92</f>
        <v>43</v>
      </c>
      <c r="AL23" s="161"/>
      <c r="AN23" s="339" t="s">
        <v>236</v>
      </c>
      <c r="AO23" s="328" t="str">
        <f>IF(Y7="","",Y7)</f>
        <v>D1</v>
      </c>
      <c r="AP23" s="329" t="str">
        <f>AC7</f>
        <v/>
      </c>
      <c r="AQ23" s="329" t="str">
        <f>IF(AP23="","",(IF(AA16="",0,AA16)+IF(AA22="",0,AA22)+IF(AA27="",0,AA27))-(IF(AA17="",0,AA17)+IF(AA23="",0,AA23)+IF(AA26="",0,AA26)))</f>
        <v/>
      </c>
      <c r="AR23" s="329" t="str">
        <f>IF(AP23="","",(IF(AA16="",0,SUM(AB16:AD16))+IF(AA22="",0,SUM(AB22:AD22))+IF(AA27="",0,SUM(AB27:AD27)))-(IF(AA17="",0,SUM(AB17:AD17))+IF(AA23="",0,SUM(AB23:AD23))+IF(AA26="",0,SUM(AB26:AD26))))</f>
        <v/>
      </c>
      <c r="AS23" s="290"/>
      <c r="AT23" s="291"/>
      <c r="AU23" s="291"/>
      <c r="AV23" s="290"/>
      <c r="AW23" s="291"/>
      <c r="AX23" s="291"/>
      <c r="AY23" s="290"/>
    </row>
    <row r="24" spans="2:51" ht="15" customHeight="1" thickTop="1" thickBot="1">
      <c r="B24" s="126"/>
      <c r="C24" s="431">
        <v>17</v>
      </c>
      <c r="D24" s="433" t="str">
        <f>IF(OR(D8="",D10=""),"",D8)</f>
        <v>A2</v>
      </c>
      <c r="E24" s="433"/>
      <c r="F24" s="22" t="str">
        <f>IF(COUNT(G24:I24)&lt;1,"",IF(SUM(IF(G24&gt;G25,1,0),IF(H24&gt;H25,1,0),IF(I24&gt;I25,1,0))&gt;2,"??",SUM(IF(G24&gt;G25,1,0),IF(H24&gt;H25,1,0),IF(I24&gt;I25,1,0))))</f>
        <v/>
      </c>
      <c r="G24" s="141"/>
      <c r="H24" s="142"/>
      <c r="I24" s="143"/>
      <c r="J24" s="431">
        <v>19</v>
      </c>
      <c r="K24" s="433" t="str">
        <f>IF(OR(K8="",K10=""),"",K8)</f>
        <v>B2</v>
      </c>
      <c r="L24" s="433"/>
      <c r="M24" s="22" t="str">
        <f>IF(COUNT(N24:P24)&lt;1,"",IF(SUM(IF(N24&gt;N25,1,0),IF(O24&gt;O25,1,0),IF(P24&gt;P25,1,0))&gt;2,"??",SUM(IF(N24&gt;N25,1,0),IF(O24&gt;O25,1,0),IF(P24&gt;P25,1,0))))</f>
        <v/>
      </c>
      <c r="N24" s="141"/>
      <c r="O24" s="142"/>
      <c r="P24" s="143"/>
      <c r="Q24" s="431">
        <v>21</v>
      </c>
      <c r="R24" s="433" t="str">
        <f>IF(OR(R8="",R10=""),"",R8)</f>
        <v>C2</v>
      </c>
      <c r="S24" s="433"/>
      <c r="T24" s="22" t="str">
        <f>IF(COUNT(U24:W24)&lt;1,"",IF(SUM(IF(U24&gt;U25,1,0),IF(V24&gt;V25,1,0),IF(W24&gt;W25,1,0))&gt;2,"??",SUM(IF(U24&gt;U25,1,0),IF(V24&gt;V25,1,0),IF(W24&gt;W25,1,0))))</f>
        <v/>
      </c>
      <c r="U24" s="141"/>
      <c r="V24" s="142"/>
      <c r="W24" s="143"/>
      <c r="X24" s="431">
        <v>23</v>
      </c>
      <c r="Y24" s="433" t="str">
        <f>IF(OR(Y8="",Y10=""),"",Y8)</f>
        <v>D2</v>
      </c>
      <c r="Z24" s="433"/>
      <c r="AA24" s="22" t="str">
        <f>IF(COUNT(AB24:AD24)&lt;1,"",IF(SUM(IF(AB24&gt;AB25,1,0),IF(AC24&gt;AC25,1,0),IF(AD24&gt;AD25,1,0))&gt;2,"??",SUM(IF(AB24&gt;AB25,1,0),IF(AC24&gt;AC25,1,0),IF(AD24&gt;AD25,1,0))))</f>
        <v/>
      </c>
      <c r="AB24" s="141"/>
      <c r="AC24" s="142"/>
      <c r="AD24" s="143"/>
      <c r="AE24" s="434" t="s">
        <v>45</v>
      </c>
      <c r="AG24" s="109">
        <f>$X$20</f>
        <v>15</v>
      </c>
      <c r="AH24" s="161"/>
      <c r="AI24" s="109">
        <f>$V$37</f>
        <v>31</v>
      </c>
      <c r="AJ24" s="161"/>
      <c r="AK24" s="130">
        <f>$W$92</f>
        <v>44</v>
      </c>
      <c r="AL24" s="163"/>
      <c r="AN24" s="330" t="s">
        <v>237</v>
      </c>
      <c r="AO24" s="328" t="str">
        <f>IF(Y8="","",Y8)</f>
        <v>D2</v>
      </c>
      <c r="AP24" s="331" t="str">
        <f>AC8</f>
        <v/>
      </c>
      <c r="AQ24" s="331" t="str">
        <f>IF(AP24="","",(IF(AA18="",0,AA18)+IF(AA23="",0,AA23)+IF(AA24="",0,AA24))-(IF(AA19="",0,AA19)+IF(AA22="",0,AA22)+IF(AA25="",0,AA25)))</f>
        <v/>
      </c>
      <c r="AR24" s="331" t="str">
        <f>IF(AP24="","",(IF(AA18="",0,SUM(AB18:AD18))+IF(AA23="",0,SUM(AB23:AD23))+IF(AA24="",0,SUM(AB24:AD24)))-(IF(AA19="",0,SUM(AB19:AD19))+IF(AA22="",0,SUM(AB22:AD22))+IF(AA25="",0,SUM(AB25:AD25))))</f>
        <v/>
      </c>
      <c r="AS24" s="290"/>
      <c r="AT24" s="291"/>
      <c r="AU24" s="291"/>
      <c r="AV24" s="290"/>
      <c r="AW24" s="291"/>
      <c r="AX24" s="291"/>
      <c r="AY24" s="290"/>
    </row>
    <row r="25" spans="2:51" ht="15" customHeight="1" thickBot="1">
      <c r="B25" s="126"/>
      <c r="C25" s="432"/>
      <c r="D25" s="437" t="str">
        <f>IF(OR(D8="",D10=""),"",D10)</f>
        <v>A4</v>
      </c>
      <c r="E25" s="437"/>
      <c r="F25" s="22" t="str">
        <f>IF(COUNT(G25:I25)&lt;1,"",IF(SUM(IF(G25&gt;G24,1,0),IF(H25&gt;H24,1,0),IF(I25&gt;I24,1,0))&gt;2,"??",SUM(IF(G25&gt;G24,1,0),IF(H25&gt;H24,1,0),IF(I25&gt;I24,1,0))))</f>
        <v/>
      </c>
      <c r="G25" s="141"/>
      <c r="H25" s="142"/>
      <c r="I25" s="143"/>
      <c r="J25" s="432"/>
      <c r="K25" s="437" t="str">
        <f>IF(OR(K8="",K10=""),"",K10)</f>
        <v>B4</v>
      </c>
      <c r="L25" s="437"/>
      <c r="M25" s="22" t="str">
        <f>IF(COUNT(N25:P25)&lt;1,"",IF(SUM(IF(N25&gt;N24,1,0),IF(O25&gt;O24,1,0),IF(P25&gt;P24,1,0))&gt;2,"??",SUM(IF(N25&gt;N24,1,0),IF(O25&gt;O24,1,0),IF(P25&gt;P24,1,0))))</f>
        <v/>
      </c>
      <c r="N25" s="141"/>
      <c r="O25" s="142"/>
      <c r="P25" s="143"/>
      <c r="Q25" s="432"/>
      <c r="R25" s="437" t="str">
        <f>IF(OR(R8="",R10=""),"",R10)</f>
        <v>C4</v>
      </c>
      <c r="S25" s="437"/>
      <c r="T25" s="22" t="str">
        <f>IF(COUNT(U25:W25)&lt;1,"",IF(SUM(IF(U25&gt;U24,1,0),IF(V25&gt;V24,1,0),IF(W25&gt;W24,1,0))&gt;2,"??",SUM(IF(U25&gt;U24,1,0),IF(V25&gt;V24,1,0),IF(W25&gt;W24,1,0))))</f>
        <v/>
      </c>
      <c r="U25" s="141"/>
      <c r="V25" s="142"/>
      <c r="W25" s="143"/>
      <c r="X25" s="432"/>
      <c r="Y25" s="437" t="str">
        <f>IF(OR(Y8="",Y10=""),"",Y10)</f>
        <v>D4</v>
      </c>
      <c r="Z25" s="437"/>
      <c r="AA25" s="22" t="str">
        <f>IF(COUNT(AB25:AD25)&lt;1,"",IF(SUM(IF(AB25&gt;AB24,1,0),IF(AC25&gt;AC24,1,0),IF(AD25&gt;AD24,1,0))&gt;2,"??",SUM(IF(AB25&gt;AB24,1,0),IF(AC25&gt;AC24,1,0),IF(AD25&gt;AD24,1,0))))</f>
        <v/>
      </c>
      <c r="AB25" s="141"/>
      <c r="AC25" s="142"/>
      <c r="AD25" s="143"/>
      <c r="AE25" s="435"/>
      <c r="AG25" s="130">
        <f>$X$22</f>
        <v>16</v>
      </c>
      <c r="AH25" s="163"/>
      <c r="AI25" s="130">
        <f>$W$37</f>
        <v>32</v>
      </c>
      <c r="AJ25" s="163"/>
      <c r="AK25" s="159"/>
      <c r="AL25" s="240"/>
      <c r="AN25" s="330" t="s">
        <v>239</v>
      </c>
      <c r="AO25" s="328" t="str">
        <f>IF(Y9="","",Y9)</f>
        <v>D3</v>
      </c>
      <c r="AP25" s="331" t="str">
        <f>AC9</f>
        <v/>
      </c>
      <c r="AQ25" s="331" t="str">
        <f>IF(AP25="","",(IF(AA19="",0,AA19)+IF(AA21="",0,AA21)+IF(AA26="",0,AA26))-(IF(AA18="",0,AA18)+IF(AA20="",0,AA20)+IF(AA27="",0,AA27)))</f>
        <v/>
      </c>
      <c r="AR25" s="331" t="str">
        <f>IF(AP25="","",(IF(AA19="",0,SUM(AB19:AD19))+IF(AA21="",0,SUM(AB21:AD21))+IF(AA26="",0,SUM(AB26:AD26)))-(IF(AA18="",0,SUM(AB18:AD18))+IF(AA20="",0,SUM(AB20:AD20))+IF(AA27="",0,SUM(AB27:AD27))))</f>
        <v/>
      </c>
      <c r="AS25" s="290"/>
      <c r="AT25" s="291"/>
      <c r="AU25" s="291"/>
      <c r="AV25" s="290"/>
      <c r="AW25" s="291"/>
      <c r="AX25" s="291"/>
      <c r="AY25" s="290"/>
    </row>
    <row r="26" spans="2:51" ht="15" customHeight="1" thickBot="1">
      <c r="B26" s="126"/>
      <c r="C26" s="428">
        <v>18</v>
      </c>
      <c r="D26" s="430" t="str">
        <f>IF(OR(D7="",D9=""),"",D9)</f>
        <v>A3</v>
      </c>
      <c r="E26" s="430"/>
      <c r="F26" s="23" t="str">
        <f>IF(COUNT(G26:I26)&lt;1,"",IF(SUM(IF(G26&gt;G27,1,0),IF(H26&gt;H27,1,0),IF(I26&gt;I27,1,0))&gt;2,"??",SUM(IF(G26&gt;G27,1,0),IF(H26&gt;H27,1,0),IF(I26&gt;I27,1,0))))</f>
        <v/>
      </c>
      <c r="G26" s="144"/>
      <c r="H26" s="145"/>
      <c r="I26" s="146"/>
      <c r="J26" s="428">
        <v>20</v>
      </c>
      <c r="K26" s="430" t="str">
        <f>IF(OR(K7="",K9=""),"",K9)</f>
        <v>B3</v>
      </c>
      <c r="L26" s="430"/>
      <c r="M26" s="23" t="str">
        <f>IF(COUNT(N26:P26)&lt;1,"",IF(SUM(IF(N26&gt;N27,1,0),IF(O26&gt;O27,1,0),IF(P26&gt;P27,1,0))&gt;2,"??",SUM(IF(N26&gt;N27,1,0),IF(O26&gt;O27,1,0),IF(P26&gt;P27,1,0))))</f>
        <v/>
      </c>
      <c r="N26" s="144"/>
      <c r="O26" s="145"/>
      <c r="P26" s="146"/>
      <c r="Q26" s="428">
        <v>22</v>
      </c>
      <c r="R26" s="430" t="str">
        <f>IF(OR(R7="",R9=""),"",R9)</f>
        <v>C3</v>
      </c>
      <c r="S26" s="430"/>
      <c r="T26" s="23" t="str">
        <f>IF(COUNT(U26:W26)&lt;1,"",IF(SUM(IF(U26&gt;U27,1,0),IF(V26&gt;V27,1,0),IF(W26&gt;W27,1,0))&gt;2,"??",SUM(IF(U26&gt;U27,1,0),IF(V26&gt;V27,1,0),IF(W26&gt;W27,1,0))))</f>
        <v/>
      </c>
      <c r="U26" s="144"/>
      <c r="V26" s="145"/>
      <c r="W26" s="146"/>
      <c r="X26" s="428">
        <v>24</v>
      </c>
      <c r="Y26" s="430" t="str">
        <f>IF(OR(Y7="",Y9=""),"",Y9)</f>
        <v>D3</v>
      </c>
      <c r="Z26" s="430"/>
      <c r="AA26" s="23" t="str">
        <f>IF(COUNT(AB26:AD26)&lt;1,"",IF(SUM(IF(AB26&gt;AB27,1,0),IF(AC26&gt;AC27,1,0),IF(AD26&gt;AD27,1,0))&gt;2,"??",SUM(IF(AB26&gt;AB27,1,0),IF(AC26&gt;AC27,1,0),IF(AD26&gt;AD27,1,0))))</f>
        <v/>
      </c>
      <c r="AB26" s="144"/>
      <c r="AC26" s="145"/>
      <c r="AD26" s="146"/>
      <c r="AE26" s="435"/>
      <c r="AG26" s="417" t="s">
        <v>247</v>
      </c>
      <c r="AH26" s="417"/>
      <c r="AI26" s="417" t="s">
        <v>248</v>
      </c>
      <c r="AJ26" s="417"/>
      <c r="AN26" s="340" t="s">
        <v>238</v>
      </c>
      <c r="AO26" s="341" t="str">
        <f>IF(Y10="","",Y10)</f>
        <v>D4</v>
      </c>
      <c r="AP26" s="341" t="str">
        <f>AC10</f>
        <v/>
      </c>
      <c r="AQ26" s="341" t="str">
        <f>IF(AP26="","",(IF(AA17="",0,AA17)+IF(AA20="",0,AA20)+IF(AA25="",0,AA25))-(IF(AA16="",0,AA16)+IF(AA21="",0,AA21)+IF(AA24="",0,AA24)))</f>
        <v/>
      </c>
      <c r="AR26" s="341" t="str">
        <f>IF(AP26="","",(IF(AA17="",0,SUM(AB17:AD17))+IF(AA20="",0,SUM(AB20:AD20))+IF(AA25="",0,SUM(AB25:AD25)))-(IF(AA16="",0,SUM(AB16:AD16))+IF(AA21="",0,SUM(AB21:AD21))+IF(AA24="",0,SUM(AB24:AD24))))</f>
        <v/>
      </c>
      <c r="AS26" s="290"/>
      <c r="AT26" s="291"/>
      <c r="AU26" s="291"/>
      <c r="AV26" s="290"/>
      <c r="AW26" s="291"/>
      <c r="AX26" s="291"/>
      <c r="AY26" s="290"/>
    </row>
    <row r="27" spans="2:51" ht="15" customHeight="1" thickBot="1">
      <c r="B27" s="126"/>
      <c r="C27" s="429"/>
      <c r="D27" s="418" t="str">
        <f>IF(OR(D7="",D9=""),"",D7)</f>
        <v>Manuel P./João V. (AE Sertã)</v>
      </c>
      <c r="E27" s="418"/>
      <c r="F27" s="29" t="str">
        <f>IF(COUNT(G27:I27)&lt;1,"",IF(SUM(IF(G27&gt;G26,1,0),IF(H27&gt;H26,1,0),IF(I27&gt;I26,1,0))&gt;2,"??",SUM(IF(G27&gt;G26,1,0),IF(H27&gt;H26,1,0),IF(I27&gt;I26,1,0))))</f>
        <v/>
      </c>
      <c r="G27" s="156"/>
      <c r="H27" s="157"/>
      <c r="I27" s="158"/>
      <c r="J27" s="429"/>
      <c r="K27" s="418" t="str">
        <f>IF(OR(K7="",K9=""),"",K7)</f>
        <v>B1</v>
      </c>
      <c r="L27" s="418"/>
      <c r="M27" s="29" t="str">
        <f>IF(COUNT(N27:P27)&lt;1,"",IF(SUM(IF(N27&gt;N26,1,0),IF(O27&gt;O26,1,0),IF(P27&gt;P26,1,0))&gt;2,"??",SUM(IF(N27&gt;N26,1,0),IF(O27&gt;O26,1,0),IF(P27&gt;P26,1,0))))</f>
        <v/>
      </c>
      <c r="N27" s="156"/>
      <c r="O27" s="157"/>
      <c r="P27" s="158"/>
      <c r="Q27" s="429"/>
      <c r="R27" s="418" t="str">
        <f>IF(OR(R7="",R9=""),"",R7)</f>
        <v>C1</v>
      </c>
      <c r="S27" s="418"/>
      <c r="T27" s="29" t="str">
        <f>IF(COUNT(U27:W27)&lt;1,"",IF(SUM(IF(U27&gt;U26,1,0),IF(V27&gt;V26,1,0),IF(W27&gt;W26,1,0))&gt;2,"??",SUM(IF(U27&gt;U26,1,0),IF(V27&gt;V26,1,0),IF(W27&gt;W26,1,0))))</f>
        <v/>
      </c>
      <c r="U27" s="156"/>
      <c r="V27" s="157"/>
      <c r="W27" s="158"/>
      <c r="X27" s="429"/>
      <c r="Y27" s="418" t="str">
        <f>IF(OR(Y7="",Y9=""),"",Y7)</f>
        <v>D1</v>
      </c>
      <c r="Z27" s="418"/>
      <c r="AA27" s="29" t="str">
        <f>IF(COUNT(AB27:AD27)&lt;1,"",IF(SUM(IF(AB27&gt;AB26,1,0),IF(AC27&gt;AC26,1,0),IF(AD27&gt;AD26,1,0))&gt;2,"??",SUM(IF(AB27&gt;AB26,1,0),IF(AC27&gt;AC26,1,0),IF(AD27&gt;AD26,1,0))))</f>
        <v/>
      </c>
      <c r="AB27" s="156"/>
      <c r="AC27" s="157"/>
      <c r="AD27" s="158"/>
      <c r="AE27" s="436"/>
      <c r="AG27" s="419">
        <v>1</v>
      </c>
      <c r="AH27" s="420"/>
      <c r="AI27" s="423">
        <v>4</v>
      </c>
      <c r="AJ27" s="424"/>
      <c r="AN27" s="292"/>
      <c r="AO27" s="293"/>
      <c r="AP27" s="342"/>
      <c r="AQ27" s="342"/>
      <c r="AR27" s="342"/>
      <c r="AS27" s="290"/>
      <c r="AT27" s="291"/>
      <c r="AU27" s="291"/>
      <c r="AV27" s="290"/>
      <c r="AW27" s="291"/>
      <c r="AX27" s="291"/>
      <c r="AY27" s="290"/>
    </row>
    <row r="28" spans="2:51" ht="15.75" customHeight="1" thickBot="1">
      <c r="B28" s="126"/>
      <c r="C28" s="427"/>
      <c r="D28" s="427"/>
      <c r="E28" s="427"/>
      <c r="F28" s="427"/>
      <c r="G28" s="427"/>
      <c r="H28" s="427"/>
      <c r="I28" s="427"/>
      <c r="J28" s="427"/>
      <c r="K28" s="427"/>
      <c r="L28" s="427"/>
      <c r="M28" s="427"/>
      <c r="N28" s="427"/>
      <c r="O28" s="427"/>
      <c r="P28" s="427"/>
      <c r="Q28" s="30"/>
      <c r="R28" s="31"/>
      <c r="S28" s="32"/>
      <c r="T28" s="33"/>
      <c r="U28" s="32"/>
      <c r="V28" s="32"/>
      <c r="W28" s="32"/>
      <c r="X28" s="30"/>
      <c r="Y28" s="31"/>
      <c r="Z28" s="32"/>
      <c r="AA28" s="33"/>
      <c r="AB28" s="32"/>
      <c r="AC28" s="32"/>
      <c r="AD28" s="32"/>
      <c r="AE28" s="113"/>
      <c r="AG28" s="421"/>
      <c r="AH28" s="422"/>
      <c r="AI28" s="425"/>
      <c r="AJ28" s="426"/>
      <c r="AN28" s="292"/>
      <c r="AO28" s="343" t="s">
        <v>425</v>
      </c>
      <c r="AP28" s="344" t="str">
        <f>IF(COUNT(AP11:AP26)=0,"",IF(SUM(AP11:AP26)=SUM(H7:H10,O7:O10,V7:V10,AC7:AC10),"OK","??"))</f>
        <v>OK</v>
      </c>
      <c r="AQ28" s="344" t="str">
        <f>IF(COUNT(AQ11:AQ26)=0,"",IF(SUM(IF(AQ11="",0,AQ11),IF(AQ12="",0,AQ12),IF(AQ13="",0,AQ13),IF(AQ14="",0,AQ14),IF(AQ15="",0,AQ15),IF(AQ16="",0,AQ16),IF(AQ17="",0,AQ17),IF(AQ18="",0,AQ18),IF(AQ19="",0,AQ19),IF(AQ20="",0,AQ20),IF(AQ21="",0,AQ21),IF(AQ22="",0,AQ22),IF(AQ23="",0,AQ23),IF(AQ24="",0,AQ24),IF(AQ25="",0,AQ25),IF(AQ26="",0,AQ26))=0,"OK","??"))</f>
        <v>OK</v>
      </c>
      <c r="AR28" s="344" t="str">
        <f>IF(COUNT(AR11:AR26)=0,"",IF(SUM(IF(AR11="",0,AR11),IF(AR12="",0,AR12),IF(AR13="",0,AR13),IF(AR14="",0,AR14),IF(AR15="",0,AR15),IF(AR16="",0,AR16),IF(AR17="",0,AR17),IF(AR18="",0,AR18),IF(AR19="",0,AR19),IF(AR20="",0,AR20),IF(AR21="",0,AR21),IF(AR22="",0,AR22),IF(AR23="",0,AR23),IF(AR24="",0,AR24),IF(AR25="",0,AR25),IF(AR26="",0,AR26))=0,"OK","??"))</f>
        <v>OK</v>
      </c>
      <c r="AS28" s="290"/>
      <c r="AT28" s="291"/>
      <c r="AU28" s="291"/>
      <c r="AV28" s="290"/>
      <c r="AW28" s="291"/>
      <c r="AX28" s="291"/>
      <c r="AY28" s="290"/>
    </row>
    <row r="29" spans="2:51" ht="15" customHeight="1">
      <c r="B29" s="125"/>
      <c r="C29" s="167"/>
      <c r="D29" s="61"/>
      <c r="E29" s="61"/>
      <c r="F29" s="167"/>
      <c r="G29" s="167"/>
      <c r="H29" s="167"/>
      <c r="I29" s="61"/>
      <c r="J29" s="167"/>
      <c r="K29" s="183"/>
      <c r="L29" s="61"/>
      <c r="M29" s="61"/>
      <c r="N29" s="61"/>
      <c r="O29" s="61"/>
      <c r="P29" s="61"/>
      <c r="Q29" s="167"/>
      <c r="R29" s="61"/>
      <c r="S29" s="61"/>
      <c r="T29" s="61"/>
      <c r="U29" s="61"/>
      <c r="V29" s="61"/>
      <c r="W29" s="61"/>
      <c r="X29" s="167"/>
      <c r="Y29" s="389" t="s">
        <v>0</v>
      </c>
      <c r="Z29" s="390"/>
      <c r="AA29" s="390"/>
      <c r="AB29" s="390"/>
      <c r="AC29" s="390"/>
      <c r="AD29" s="391"/>
      <c r="AE29" s="3"/>
      <c r="AG29" s="409" t="s">
        <v>46</v>
      </c>
      <c r="AH29" s="409"/>
      <c r="AI29" s="409"/>
      <c r="AJ29" s="409"/>
      <c r="AN29" s="292"/>
      <c r="AO29" s="293"/>
      <c r="AP29" s="398"/>
      <c r="AQ29" s="398"/>
      <c r="AR29" s="398"/>
      <c r="AS29" s="290"/>
      <c r="AT29" s="291"/>
      <c r="AU29" s="291"/>
      <c r="AV29" s="290"/>
      <c r="AW29" s="291"/>
      <c r="AX29" s="291"/>
      <c r="AY29" s="290"/>
    </row>
    <row r="30" spans="2:51" ht="15.75" customHeight="1" thickBot="1">
      <c r="B30" s="126"/>
      <c r="C30" s="369" t="str">
        <f>IF(D12="","1º do grupo A",D12)</f>
        <v>Manuel P./João V. (AE Sertã)</v>
      </c>
      <c r="D30" s="370"/>
      <c r="E30" s="69"/>
      <c r="F30" s="69"/>
      <c r="G30" s="70"/>
      <c r="H30" s="35" t="str">
        <f>IF(COUNT(E30:G30)&lt;1,"",IF(SUM(IF(E30&gt;E32,1,0),IF(F30&gt;F32,1,0),IF(G30&gt;G32,1,0))&gt;2,"??",SUM(IF(E30&gt;E32,1,0),IF(F30&gt;F32,1,0),IF(G30&gt;G32,1,0))))</f>
        <v/>
      </c>
      <c r="I30" s="36"/>
      <c r="J30" s="40"/>
      <c r="K30" s="55"/>
      <c r="L30" s="55"/>
      <c r="M30" s="55"/>
      <c r="N30" s="55"/>
      <c r="O30" s="55"/>
      <c r="P30" s="55"/>
      <c r="Q30" s="40"/>
      <c r="R30" s="55"/>
      <c r="S30" s="55"/>
      <c r="T30" s="55"/>
      <c r="U30" s="55"/>
      <c r="V30" s="55"/>
      <c r="W30" s="54"/>
      <c r="X30" s="68"/>
      <c r="Y30" s="392"/>
      <c r="Z30" s="393"/>
      <c r="AA30" s="393"/>
      <c r="AB30" s="393"/>
      <c r="AC30" s="393"/>
      <c r="AD30" s="394"/>
      <c r="AE30" s="113"/>
      <c r="AG30" s="410"/>
      <c r="AH30" s="410"/>
      <c r="AI30" s="410"/>
      <c r="AJ30" s="410"/>
      <c r="AN30" s="292"/>
      <c r="AO30" s="293"/>
      <c r="AP30" s="398"/>
      <c r="AQ30" s="398"/>
      <c r="AR30" s="398"/>
      <c r="AS30" s="290"/>
      <c r="AT30" s="291"/>
      <c r="AU30" s="291"/>
      <c r="AV30" s="290"/>
      <c r="AW30" s="291"/>
      <c r="AX30" s="291"/>
      <c r="AY30" s="290"/>
    </row>
    <row r="31" spans="2:51" ht="15.75" customHeight="1">
      <c r="B31" s="126"/>
      <c r="C31" s="68"/>
      <c r="D31" s="37"/>
      <c r="E31" s="41"/>
      <c r="F31" s="41"/>
      <c r="G31" s="62"/>
      <c r="H31" s="64">
        <v>25</v>
      </c>
      <c r="I31" s="411" t="str">
        <f>IF(OR(H30="",H32="")=TRUE,"1ª Meia Final-Jogador1",IF(H30&gt;H32,C30,C32))</f>
        <v>1ª Meia Final-Jogador1</v>
      </c>
      <c r="J31" s="412"/>
      <c r="K31" s="413"/>
      <c r="L31" s="69"/>
      <c r="M31" s="69"/>
      <c r="N31" s="70"/>
      <c r="O31" s="38" t="str">
        <f>IF(COUNT(L31:N31)&lt;1,"",IF(SUM(IF(L31&gt;L35,1,0),IF(M31&gt;M35,1,0),IF(N31&gt;N35,1,0))&gt;2,"??",SUM(IF(L31&gt;L35,1,0),IF(M31&gt;M35,1,0),IF(N31&gt;N35,1,0))))</f>
        <v/>
      </c>
      <c r="P31" s="55"/>
      <c r="Q31" s="40"/>
      <c r="R31" s="55"/>
      <c r="S31" s="55"/>
      <c r="T31" s="55"/>
      <c r="U31" s="55"/>
      <c r="V31" s="55"/>
      <c r="W31" s="54"/>
      <c r="X31" s="68"/>
      <c r="Y31" s="414" t="str">
        <f>IF(X37="1º Classificado","",X37)</f>
        <v/>
      </c>
      <c r="Z31" s="415"/>
      <c r="AA31" s="415"/>
      <c r="AB31" s="415"/>
      <c r="AC31" s="415"/>
      <c r="AD31" s="39" t="s">
        <v>1</v>
      </c>
      <c r="AE31" s="113"/>
      <c r="AG31" s="410"/>
      <c r="AH31" s="410"/>
      <c r="AI31" s="410"/>
      <c r="AJ31" s="410"/>
      <c r="AN31" s="288"/>
      <c r="AO31" s="289"/>
      <c r="AP31" s="416"/>
      <c r="AQ31" s="416"/>
      <c r="AR31" s="416"/>
      <c r="AS31" s="290"/>
      <c r="AT31" s="291"/>
      <c r="AU31" s="291"/>
      <c r="AV31" s="290"/>
      <c r="AW31" s="291"/>
      <c r="AX31" s="291"/>
      <c r="AY31" s="290"/>
    </row>
    <row r="32" spans="2:51" ht="15.75" customHeight="1">
      <c r="B32" s="126"/>
      <c r="C32" s="369" t="str">
        <f>IF(K13="","2º do grupo B",K13)</f>
        <v>2º do grupo B</v>
      </c>
      <c r="D32" s="370"/>
      <c r="E32" s="69"/>
      <c r="F32" s="69"/>
      <c r="G32" s="70"/>
      <c r="H32" s="35" t="str">
        <f>IF(COUNT(E32:G32)&lt;1,"",IF(SUM(IF(E30&lt;E32,1,0),IF(F30&lt;F32,1,0),IF(G30&lt;G32,1,0))&gt;2,"??",SUM(IF(E30&lt;E32,1,0),IF(F30&lt;F32,1,0),IF(G30&lt;G32,1,0))))</f>
        <v/>
      </c>
      <c r="I32" s="36"/>
      <c r="J32" s="40"/>
      <c r="K32" s="59"/>
      <c r="L32" s="55"/>
      <c r="M32" s="41"/>
      <c r="N32" s="41"/>
      <c r="O32" s="42"/>
      <c r="P32" s="36"/>
      <c r="Q32" s="40"/>
      <c r="R32" s="55"/>
      <c r="S32" s="55"/>
      <c r="T32" s="55"/>
      <c r="U32" s="55"/>
      <c r="V32" s="60"/>
      <c r="W32" s="53"/>
      <c r="X32" s="48"/>
      <c r="Y32" s="405" t="str">
        <f>IF(Y31="","",IF(Y31=P33,P41,P33))</f>
        <v/>
      </c>
      <c r="Z32" s="406" t="e">
        <f>IF(#REF!="","",IF(#REF!=W32,"","(2º) "))</f>
        <v>#REF!</v>
      </c>
      <c r="AA32" s="406" t="e">
        <f>IF(#REF!="","",IF(#REF!=X32,"","(2º) "))</f>
        <v>#REF!</v>
      </c>
      <c r="AB32" s="406" t="e">
        <f>IF(#REF!="","",IF(#REF!=Y32,"","(2º) "))</f>
        <v>#REF!</v>
      </c>
      <c r="AC32" s="406" t="e">
        <f>IF(#REF!="","",IF(#REF!=Z32,"","(2º) "))</f>
        <v>#REF!</v>
      </c>
      <c r="AD32" s="43" t="s">
        <v>2</v>
      </c>
      <c r="AE32" s="113"/>
      <c r="AN32" s="292"/>
      <c r="AO32" s="293"/>
      <c r="AP32" s="398"/>
      <c r="AQ32" s="398"/>
      <c r="AR32" s="398"/>
      <c r="AS32" s="290"/>
      <c r="AT32" s="291"/>
      <c r="AU32" s="291"/>
      <c r="AV32" s="290"/>
      <c r="AW32" s="291"/>
      <c r="AX32" s="291"/>
      <c r="AY32" s="290"/>
    </row>
    <row r="33" spans="2:51" ht="15.75" customHeight="1">
      <c r="B33" s="126"/>
      <c r="C33" s="68"/>
      <c r="D33" s="37"/>
      <c r="E33" s="55"/>
      <c r="F33" s="42"/>
      <c r="G33" s="44"/>
      <c r="H33" s="44"/>
      <c r="I33" s="55"/>
      <c r="J33" s="40"/>
      <c r="K33" s="59"/>
      <c r="L33" s="55"/>
      <c r="M33" s="42"/>
      <c r="N33" s="42"/>
      <c r="O33" s="64">
        <v>29</v>
      </c>
      <c r="P33" s="374" t="str">
        <f>IF(OR(O31="",O35="")=TRUE,"Final-Jogador1",IF(O31&gt;O35,I31,I35))</f>
        <v>Final-Jogador1</v>
      </c>
      <c r="Q33" s="369"/>
      <c r="R33" s="369"/>
      <c r="S33" s="370"/>
      <c r="T33" s="69"/>
      <c r="U33" s="69"/>
      <c r="V33" s="69"/>
      <c r="W33" s="45" t="str">
        <f>IF(COUNT(T33:V33)&lt;1,"",IF(SUM(IF(T33&gt;T41,1,0),IF(U33&gt;U41,1,0),IF(V33&gt;V41,1,0))&gt;2,"??",SUM(IF(T33&gt;T41,1,0),IF(U33&gt;U41,1,0),IF(V33&gt;V41,1,0))))</f>
        <v/>
      </c>
      <c r="X33" s="48"/>
      <c r="Y33" s="407" t="str">
        <f>IF(P37="3º Classificado","",P37)</f>
        <v/>
      </c>
      <c r="Z33" s="408"/>
      <c r="AA33" s="408"/>
      <c r="AB33" s="408"/>
      <c r="AC33" s="408"/>
      <c r="AD33" s="166" t="s">
        <v>3</v>
      </c>
      <c r="AE33" s="113"/>
      <c r="AN33" s="292"/>
      <c r="AO33" s="293"/>
      <c r="AP33" s="398"/>
      <c r="AQ33" s="398"/>
      <c r="AR33" s="398"/>
      <c r="AS33" s="290"/>
      <c r="AT33" s="291"/>
      <c r="AU33" s="291"/>
      <c r="AV33" s="290"/>
      <c r="AW33" s="291"/>
      <c r="AX33" s="291"/>
      <c r="AY33" s="290"/>
    </row>
    <row r="34" spans="2:51" ht="15.75" customHeight="1" thickBot="1">
      <c r="B34" s="126"/>
      <c r="C34" s="369" t="str">
        <f>IF(Y13="","2º do grupo D",Y13)</f>
        <v>2º do grupo D</v>
      </c>
      <c r="D34" s="370"/>
      <c r="E34" s="69"/>
      <c r="F34" s="69"/>
      <c r="G34" s="70"/>
      <c r="H34" s="35" t="str">
        <f>IF(COUNT(E34:G34)&lt;1,"",IF(SUM(IF(E34&gt;E36,1,0),IF(F34&gt;F36,1,0),IF(G34&gt;G36,1,0))&gt;2,"??",SUM(IF(E34&gt;E36,1,0),IF(F34&gt;F36,1,0),IF(G34&gt;G36,1,0))))</f>
        <v/>
      </c>
      <c r="I34" s="36"/>
      <c r="J34" s="40"/>
      <c r="K34" s="59"/>
      <c r="L34" s="55"/>
      <c r="M34" s="42"/>
      <c r="N34" s="42"/>
      <c r="O34" s="42"/>
      <c r="P34" s="36"/>
      <c r="Q34" s="40"/>
      <c r="R34" s="55"/>
      <c r="S34" s="46"/>
      <c r="T34" s="42"/>
      <c r="U34" s="42"/>
      <c r="V34" s="67"/>
      <c r="W34" s="47"/>
      <c r="X34" s="48"/>
      <c r="Y34" s="403" t="str">
        <f>IF(Y33="","",IF(Y33=P35,P39,P35))</f>
        <v/>
      </c>
      <c r="Z34" s="404" t="e">
        <f>IF(#REF!="","",IF(#REF!=W34,"","(2º) "))</f>
        <v>#REF!</v>
      </c>
      <c r="AA34" s="404" t="e">
        <f>IF(#REF!="","",IF(#REF!=X34,"","(2º) "))</f>
        <v>#REF!</v>
      </c>
      <c r="AB34" s="404" t="e">
        <f>IF(#REF!="","",IF(#REF!=Y34,"","(2º) "))</f>
        <v>#REF!</v>
      </c>
      <c r="AC34" s="404" t="e">
        <f>IF(#REF!="","",IF(#REF!=Z34,"","(2º) "))</f>
        <v>#REF!</v>
      </c>
      <c r="AD34" s="165" t="s">
        <v>4</v>
      </c>
      <c r="AE34" s="113"/>
      <c r="AN34" s="292"/>
      <c r="AO34" s="293"/>
      <c r="AP34" s="398"/>
      <c r="AQ34" s="398"/>
      <c r="AR34" s="398"/>
      <c r="AS34" s="290"/>
      <c r="AT34" s="291"/>
      <c r="AU34" s="291"/>
      <c r="AV34" s="290"/>
      <c r="AW34" s="291"/>
      <c r="AX34" s="291"/>
      <c r="AY34" s="290"/>
    </row>
    <row r="35" spans="2:51" ht="15.75" customHeight="1">
      <c r="B35" s="126"/>
      <c r="C35" s="68"/>
      <c r="D35" s="37"/>
      <c r="E35" s="55"/>
      <c r="F35" s="42"/>
      <c r="G35" s="44"/>
      <c r="H35" s="63">
        <v>26</v>
      </c>
      <c r="I35" s="374" t="str">
        <f>IF(OR(H34="",H36="")=TRUE,"1ª Meia Final-Jogador2",IF(H34&gt;H36,C34,C36))</f>
        <v>1ª Meia Final-Jogador2</v>
      </c>
      <c r="J35" s="369"/>
      <c r="K35" s="370"/>
      <c r="L35" s="69"/>
      <c r="M35" s="69"/>
      <c r="N35" s="70"/>
      <c r="O35" s="38" t="str">
        <f>IF(COUNT(L35:N35)&lt;1,"",IF(SUM(IF(L31&lt;L35,1,0),IF(M31&lt;M35,1,0),IF(N31&lt;N35,1,0))&gt;2,"??",SUM(IF(L31&lt;L35,1,0),IF(M31&lt;M35,1,0),IF(N31&lt;N35,1,0))))</f>
        <v/>
      </c>
      <c r="P35" s="371" t="str">
        <f>IF(P33="Final-Jogador1","Disputa 3º/4º  Jogador1",IF(P33=I31,I35,I31))</f>
        <v>Disputa 3º/4º  Jogador1</v>
      </c>
      <c r="Q35" s="372"/>
      <c r="R35" s="373"/>
      <c r="S35" s="69"/>
      <c r="T35" s="69"/>
      <c r="U35" s="69"/>
      <c r="V35" s="49" t="str">
        <f>IF(COUNT(S35:U35)&lt;1,"",IF(SUM(IF(S35&gt;S39,1,0),IF(T35&gt;T39,1,0),IF(U35&gt;U39,1,0))&gt;2,"??",SUM(IF(S35&gt;S39,1,0),IF(T35&gt;T39,1,0),IF(U35&gt;U39,1,0))))</f>
        <v/>
      </c>
      <c r="W35" s="50"/>
      <c r="X35" s="48"/>
      <c r="Y35" s="53"/>
      <c r="Z35" s="53"/>
      <c r="AA35" s="53"/>
      <c r="AB35" s="53"/>
      <c r="AC35" s="53"/>
      <c r="AD35" s="54"/>
      <c r="AE35" s="113"/>
      <c r="AN35" s="292"/>
      <c r="AO35" s="293"/>
      <c r="AP35" s="398"/>
      <c r="AQ35" s="398"/>
      <c r="AR35" s="398"/>
      <c r="AS35" s="290"/>
      <c r="AT35" s="291"/>
      <c r="AU35" s="291"/>
      <c r="AV35" s="290"/>
      <c r="AW35" s="291"/>
      <c r="AX35" s="291"/>
      <c r="AY35" s="290"/>
    </row>
    <row r="36" spans="2:51" ht="15.75" customHeight="1">
      <c r="B36" s="126"/>
      <c r="C36" s="369" t="str">
        <f>IF(R12="","1º do grupo C",R12)</f>
        <v>1º do grupo C</v>
      </c>
      <c r="D36" s="370"/>
      <c r="E36" s="69"/>
      <c r="F36" s="69"/>
      <c r="G36" s="70"/>
      <c r="H36" s="35" t="str">
        <f>IF(COUNT(E36:G36)&lt;1,"",IF(SUM(IF(E34&lt;E36,1,0),IF(F34&lt;F36,1,0),IF(G34&lt;G36,1,0))&gt;2,"??",SUM(IF(E34&lt;E36,1,0),IF(F34&lt;F36,1,0),IF(G34&lt;G36,1,0))))</f>
        <v/>
      </c>
      <c r="I36" s="36"/>
      <c r="J36" s="40"/>
      <c r="K36" s="59"/>
      <c r="L36" s="46"/>
      <c r="M36" s="42"/>
      <c r="N36" s="42"/>
      <c r="O36" s="42"/>
      <c r="P36" s="55"/>
      <c r="Q36" s="51"/>
      <c r="R36" s="46"/>
      <c r="S36" s="46"/>
      <c r="T36" s="41"/>
      <c r="U36" s="41"/>
      <c r="V36" s="52"/>
      <c r="W36" s="50"/>
      <c r="X36" s="48"/>
      <c r="Y36" s="53"/>
      <c r="Z36" s="53"/>
      <c r="AA36" s="53"/>
      <c r="AB36" s="53"/>
      <c r="AC36" s="53"/>
      <c r="AD36" s="54"/>
      <c r="AE36" s="113"/>
      <c r="AN36" s="292"/>
      <c r="AO36" s="293"/>
      <c r="AP36" s="398"/>
      <c r="AQ36" s="398"/>
      <c r="AR36" s="398"/>
      <c r="AS36" s="290"/>
      <c r="AT36" s="291"/>
      <c r="AU36" s="291"/>
      <c r="AV36" s="290"/>
      <c r="AW36" s="291"/>
      <c r="AX36" s="291"/>
      <c r="AY36" s="290"/>
    </row>
    <row r="37" spans="2:51" ht="27" customHeight="1">
      <c r="B37" s="126"/>
      <c r="C37" s="127" t="s">
        <v>60</v>
      </c>
      <c r="D37" s="71"/>
      <c r="E37" s="118"/>
      <c r="F37" s="118"/>
      <c r="G37" s="119"/>
      <c r="H37" s="120"/>
      <c r="I37" s="55"/>
      <c r="J37" s="40"/>
      <c r="K37" s="59"/>
      <c r="L37" s="55"/>
      <c r="M37" s="42"/>
      <c r="N37" s="42"/>
      <c r="O37" s="42"/>
      <c r="P37" s="380" t="str">
        <f>IF(OR(V35="",V39="")=TRUE,"3º Classificado",IF(V35&gt;V39,P35,P39))</f>
        <v>3º Classificado</v>
      </c>
      <c r="Q37" s="380"/>
      <c r="R37" s="380"/>
      <c r="S37" s="380"/>
      <c r="T37" s="380"/>
      <c r="U37" s="380"/>
      <c r="V37" s="65">
        <v>31</v>
      </c>
      <c r="W37" s="66">
        <v>32</v>
      </c>
      <c r="X37" s="381" t="str">
        <f>IF(OR(W33="",W41="")=TRUE,"1º Classificado",IF(W33&gt;W41,P33,P41))</f>
        <v>1º Classificado</v>
      </c>
      <c r="Y37" s="382"/>
      <c r="Z37" s="382"/>
      <c r="AA37" s="382"/>
      <c r="AB37" s="382"/>
      <c r="AC37" s="382"/>
      <c r="AD37" s="54"/>
      <c r="AE37" s="113"/>
      <c r="AN37" s="292"/>
      <c r="AO37" s="293"/>
      <c r="AP37" s="398"/>
      <c r="AQ37" s="398"/>
      <c r="AR37" s="398"/>
      <c r="AS37" s="290"/>
      <c r="AT37" s="291"/>
      <c r="AU37" s="291"/>
      <c r="AV37" s="290"/>
      <c r="AW37" s="291"/>
      <c r="AX37" s="291"/>
      <c r="AY37" s="290"/>
    </row>
    <row r="38" spans="2:51" ht="15.75" customHeight="1">
      <c r="B38" s="126"/>
      <c r="C38" s="369" t="str">
        <f>IF(K12="","1º do grupo B",K12)</f>
        <v>1º do grupo B</v>
      </c>
      <c r="D38" s="370"/>
      <c r="E38" s="69"/>
      <c r="F38" s="69"/>
      <c r="G38" s="70"/>
      <c r="H38" s="35" t="str">
        <f>IF(COUNT(E38:G38)&lt;1,"",IF(SUM(IF(E38&gt;E40,1,0),IF(F38&gt;F40,1,0),IF(G38&gt;G40,1,0))&gt;2,"??",SUM(IF(E38&gt;E40,1,0),IF(F38&gt;F40,1,0),IF(G38&gt;G40,1,0))))</f>
        <v/>
      </c>
      <c r="I38" s="36"/>
      <c r="J38" s="40"/>
      <c r="K38" s="59"/>
      <c r="L38" s="55"/>
      <c r="M38" s="42"/>
      <c r="N38" s="42"/>
      <c r="O38" s="42"/>
      <c r="P38" s="55"/>
      <c r="Q38" s="40"/>
      <c r="R38" s="55"/>
      <c r="S38" s="55"/>
      <c r="T38" s="42"/>
      <c r="U38" s="42"/>
      <c r="V38" s="56"/>
      <c r="W38" s="50"/>
      <c r="X38" s="48"/>
      <c r="Y38" s="402" t="s">
        <v>5</v>
      </c>
      <c r="Z38" s="402"/>
      <c r="AA38" s="402"/>
      <c r="AB38" s="402"/>
      <c r="AC38" s="402"/>
      <c r="AD38" s="54"/>
      <c r="AE38" s="113"/>
      <c r="AN38" s="292"/>
      <c r="AO38" s="293"/>
      <c r="AP38" s="398"/>
      <c r="AQ38" s="398"/>
      <c r="AR38" s="398"/>
      <c r="AS38" s="290"/>
      <c r="AT38" s="291"/>
      <c r="AU38" s="291"/>
      <c r="AV38" s="290"/>
      <c r="AW38" s="291"/>
      <c r="AX38" s="291"/>
      <c r="AY38" s="290"/>
    </row>
    <row r="39" spans="2:51" ht="15.75" customHeight="1">
      <c r="B39" s="126"/>
      <c r="C39" s="68"/>
      <c r="D39" s="37"/>
      <c r="E39" s="55"/>
      <c r="F39" s="41"/>
      <c r="G39" s="44"/>
      <c r="H39" s="63">
        <v>27</v>
      </c>
      <c r="I39" s="374" t="str">
        <f>IF(OR(H38="",H40="")=TRUE,"2ª Meia Final-Jogador1",IF(H38&gt;H40,C38,C40))</f>
        <v>2ª Meia Final-Jogador1</v>
      </c>
      <c r="J39" s="369"/>
      <c r="K39" s="370"/>
      <c r="L39" s="69"/>
      <c r="M39" s="69"/>
      <c r="N39" s="70"/>
      <c r="O39" s="38" t="str">
        <f>IF(COUNT(L39:N39)&lt;1,"",IF(SUM(IF(L39&gt;L43,1,0),IF(M39&gt;M43,1,0),IF(N39&gt;N43,1,0))&gt;2,"??",SUM(IF(L39&gt;L43,1,0),IF(M39&gt;M43,1,0),IF(N39&gt;N43,1,0))))</f>
        <v/>
      </c>
      <c r="P39" s="371" t="str">
        <f>IF(P41="Final-Jogador2","Disputa 3º/4º  Jogador2",IF(P41=I39,I43,I39))</f>
        <v>Disputa 3º/4º  Jogador2</v>
      </c>
      <c r="Q39" s="372"/>
      <c r="R39" s="373"/>
      <c r="S39" s="69"/>
      <c r="T39" s="69"/>
      <c r="U39" s="69"/>
      <c r="V39" s="49" t="str">
        <f>IF(COUNT(S39:U39)&lt;1,"",IF(SUM(IF(S35&lt;S39,1,0),IF(T35&lt;T39,1,0),IF(U35&lt;U39,1,0))&gt;2,"??",SUM(IF(S35&lt;S39,1,0),IF(T35&lt;T39,1,0),IF(U35&lt;U39,1,0))))</f>
        <v/>
      </c>
      <c r="W39" s="50"/>
      <c r="X39" s="48"/>
      <c r="Y39" s="53"/>
      <c r="Z39" s="53"/>
      <c r="AA39" s="53"/>
      <c r="AB39" s="57"/>
      <c r="AC39" s="57"/>
      <c r="AD39" s="58"/>
      <c r="AE39" s="113"/>
      <c r="AN39" s="292"/>
      <c r="AO39" s="293"/>
      <c r="AP39" s="398"/>
      <c r="AQ39" s="398"/>
      <c r="AR39" s="398"/>
      <c r="AS39" s="290"/>
      <c r="AT39" s="291"/>
      <c r="AU39" s="291"/>
      <c r="AV39" s="290"/>
      <c r="AW39" s="291"/>
      <c r="AX39" s="291"/>
      <c r="AY39" s="290"/>
    </row>
    <row r="40" spans="2:51" ht="15.75" customHeight="1">
      <c r="B40" s="126"/>
      <c r="C40" s="369" t="str">
        <f>IF(D13="","2º do grupo A",D13)</f>
        <v>A4</v>
      </c>
      <c r="D40" s="370"/>
      <c r="E40" s="69"/>
      <c r="F40" s="69"/>
      <c r="G40" s="70"/>
      <c r="H40" s="35" t="str">
        <f>IF(COUNT(E40:G40)&lt;1,"",IF(SUM(IF(E38&lt;E40,1,0),IF(F38&lt;F40,1,0),IF(G38&lt;G40,1,0))&gt;2,"??",SUM(IF(E38&lt;E40,1,0),IF(F38&lt;F40,1,0),IF(G38&lt;G40,1,0))))</f>
        <v/>
      </c>
      <c r="I40" s="36"/>
      <c r="J40" s="40"/>
      <c r="K40" s="59"/>
      <c r="L40" s="55"/>
      <c r="M40" s="41"/>
      <c r="N40" s="41"/>
      <c r="O40" s="42"/>
      <c r="P40" s="36"/>
      <c r="Q40" s="51"/>
      <c r="R40" s="46"/>
      <c r="S40" s="55"/>
      <c r="T40" s="42"/>
      <c r="U40" s="42"/>
      <c r="V40" s="67"/>
      <c r="W40" s="50"/>
      <c r="X40" s="48"/>
      <c r="Y40" s="53"/>
      <c r="Z40" s="53"/>
      <c r="AA40" s="53"/>
      <c r="AB40" s="53"/>
      <c r="AC40" s="53"/>
      <c r="AD40" s="54"/>
      <c r="AE40" s="113"/>
      <c r="AN40" s="292"/>
      <c r="AO40" s="293"/>
      <c r="AP40" s="398"/>
      <c r="AQ40" s="398"/>
      <c r="AR40" s="398"/>
      <c r="AS40" s="290"/>
      <c r="AT40" s="291"/>
      <c r="AU40" s="291"/>
      <c r="AV40" s="290"/>
      <c r="AW40" s="291"/>
      <c r="AX40" s="291"/>
      <c r="AY40" s="290"/>
    </row>
    <row r="41" spans="2:51" ht="15.75" customHeight="1">
      <c r="B41" s="126"/>
      <c r="C41" s="68"/>
      <c r="D41" s="37"/>
      <c r="E41" s="55"/>
      <c r="F41" s="42"/>
      <c r="G41" s="44"/>
      <c r="H41" s="121"/>
      <c r="I41" s="55"/>
      <c r="J41" s="40"/>
      <c r="K41" s="59"/>
      <c r="L41" s="55"/>
      <c r="M41" s="42"/>
      <c r="N41" s="42"/>
      <c r="O41" s="64">
        <v>30</v>
      </c>
      <c r="P41" s="374" t="str">
        <f>IF(OR(O39="",O43="")=TRUE,"Final-Jogador2",IF(O39&gt;O43,I39,I43))</f>
        <v>Final-Jogador2</v>
      </c>
      <c r="Q41" s="369"/>
      <c r="R41" s="369"/>
      <c r="S41" s="370"/>
      <c r="T41" s="69"/>
      <c r="U41" s="69"/>
      <c r="V41" s="69"/>
      <c r="W41" s="45" t="str">
        <f>IF(COUNT(T41:V41)&lt;1,"",IF(SUM(IF(T33&lt;T41,1,0),IF(U33&lt;U41,1,0),IF(V33&lt;V41,1,0))&gt;2,"??",SUM(IF(T33&lt;T41,1,0),IF(U33&lt;U41,1,0),IF(V33&lt;V41,1,0))))</f>
        <v/>
      </c>
      <c r="X41" s="48"/>
      <c r="Y41" s="53"/>
      <c r="Z41" s="53"/>
      <c r="AA41" s="53"/>
      <c r="AB41" s="53"/>
      <c r="AC41" s="53"/>
      <c r="AD41" s="54"/>
      <c r="AE41" s="113"/>
      <c r="AN41" s="292"/>
      <c r="AO41" s="293"/>
      <c r="AP41" s="398"/>
      <c r="AQ41" s="398"/>
      <c r="AR41" s="398"/>
      <c r="AS41" s="290"/>
      <c r="AT41" s="291"/>
      <c r="AU41" s="291"/>
      <c r="AV41" s="290"/>
      <c r="AW41" s="291"/>
      <c r="AX41" s="291"/>
      <c r="AY41" s="290"/>
    </row>
    <row r="42" spans="2:51" ht="15.75" customHeight="1">
      <c r="B42" s="126"/>
      <c r="C42" s="369" t="str">
        <f>IF(R13="","2º do grupo C",R13)</f>
        <v>2º do grupo C</v>
      </c>
      <c r="D42" s="370"/>
      <c r="E42" s="69"/>
      <c r="F42" s="69"/>
      <c r="G42" s="70"/>
      <c r="H42" s="35" t="str">
        <f>IF(COUNT(E42:G42)&lt;1,"",IF(SUM(IF(E42&gt;E44,1,0),IF(F42&gt;F44,1,0),IF(G42&gt;G44,1,0))&gt;2,"??",SUM(IF(E42&gt;E44,1,0),IF(F42&gt;F44,1,0),IF(G42&gt;G44,1,0))))</f>
        <v/>
      </c>
      <c r="I42" s="36"/>
      <c r="J42" s="40"/>
      <c r="K42" s="59"/>
      <c r="L42" s="55"/>
      <c r="M42" s="42"/>
      <c r="N42" s="42"/>
      <c r="O42" s="42"/>
      <c r="P42" s="36"/>
      <c r="Q42" s="40"/>
      <c r="R42" s="55"/>
      <c r="S42" s="46"/>
      <c r="T42" s="55"/>
      <c r="U42" s="55"/>
      <c r="V42" s="60"/>
      <c r="W42" s="53"/>
      <c r="X42" s="48"/>
      <c r="Y42" s="53"/>
      <c r="Z42" s="53"/>
      <c r="AA42" s="53"/>
      <c r="AB42" s="53"/>
      <c r="AC42" s="53"/>
      <c r="AD42" s="54"/>
      <c r="AE42" s="113"/>
      <c r="AN42" s="292"/>
      <c r="AO42" s="293"/>
      <c r="AP42" s="398"/>
      <c r="AQ42" s="398"/>
      <c r="AR42" s="398"/>
      <c r="AS42" s="290"/>
      <c r="AT42" s="291"/>
      <c r="AU42" s="291"/>
      <c r="AV42" s="290"/>
      <c r="AW42" s="291"/>
      <c r="AX42" s="291"/>
      <c r="AY42" s="290"/>
    </row>
    <row r="43" spans="2:51" ht="15.75" customHeight="1">
      <c r="B43" s="126"/>
      <c r="C43" s="68"/>
      <c r="D43" s="37"/>
      <c r="E43" s="55"/>
      <c r="F43" s="42"/>
      <c r="G43" s="44"/>
      <c r="H43" s="63">
        <v>28</v>
      </c>
      <c r="I43" s="374" t="str">
        <f>IF(OR(H42="",H44="")=TRUE,"2ª Meia Final-Jogador2",IF(H42&gt;H44,C42,C44))</f>
        <v>2ª Meia Final-Jogador2</v>
      </c>
      <c r="J43" s="369"/>
      <c r="K43" s="370"/>
      <c r="L43" s="69"/>
      <c r="M43" s="69"/>
      <c r="N43" s="70"/>
      <c r="O43" s="35" t="str">
        <f>IF(COUNT(L43:N43)&lt;1,"",IF(SUM(IF(L39&lt;L43,1,0),IF(M39&lt;M43,1,0),IF(N39&lt;N43,1,0))&gt;2,"??",SUM(IF(L39&lt;L43,1,0),IF(M39&lt;M43,1,0),IF(N39&lt;N43,1,0))))</f>
        <v/>
      </c>
      <c r="P43" s="36"/>
      <c r="Q43" s="40"/>
      <c r="R43" s="55"/>
      <c r="S43" s="55"/>
      <c r="T43" s="55"/>
      <c r="U43" s="55"/>
      <c r="V43" s="55"/>
      <c r="W43" s="54"/>
      <c r="X43" s="68"/>
      <c r="Y43" s="54"/>
      <c r="Z43" s="54"/>
      <c r="AA43" s="54"/>
      <c r="AB43" s="54"/>
      <c r="AC43" s="54"/>
      <c r="AD43" s="54"/>
      <c r="AE43" s="113"/>
      <c r="AN43" s="292"/>
      <c r="AO43" s="293"/>
      <c r="AP43" s="398"/>
      <c r="AQ43" s="398"/>
      <c r="AR43" s="398"/>
      <c r="AS43" s="290"/>
      <c r="AT43" s="291"/>
      <c r="AU43" s="291"/>
      <c r="AV43" s="290"/>
      <c r="AW43" s="291"/>
      <c r="AX43" s="291"/>
      <c r="AY43" s="290"/>
    </row>
    <row r="44" spans="2:51" ht="15.75" customHeight="1">
      <c r="B44" s="126"/>
      <c r="C44" s="369" t="str">
        <f>IF(Y12="","1º do grupo D",Y12)</f>
        <v>1º do grupo D</v>
      </c>
      <c r="D44" s="370"/>
      <c r="E44" s="69"/>
      <c r="F44" s="69"/>
      <c r="G44" s="70"/>
      <c r="H44" s="35" t="str">
        <f>IF(COUNT(E44:G44)&lt;1,"",IF(SUM(IF(E42&lt;E44,1,0),IF(F42&lt;F44,1,0),IF(G42&lt;G44,1,0))&gt;2,"??",SUM(IF(E42&lt;E44,1,0),IF(F42&lt;F44,1,0),IF(G42&lt;G44,1,0))))</f>
        <v/>
      </c>
      <c r="I44" s="36"/>
      <c r="J44" s="40"/>
      <c r="K44" s="55"/>
      <c r="L44" s="46"/>
      <c r="M44" s="55"/>
      <c r="N44" s="55"/>
      <c r="O44" s="55"/>
      <c r="P44" s="55"/>
      <c r="Q44" s="40"/>
      <c r="R44" s="55"/>
      <c r="S44" s="55"/>
      <c r="T44" s="55"/>
      <c r="U44" s="55"/>
      <c r="V44" s="55"/>
      <c r="W44" s="54"/>
      <c r="X44" s="68"/>
      <c r="Y44" s="54"/>
      <c r="Z44" s="54"/>
      <c r="AA44" s="54"/>
      <c r="AB44" s="54"/>
      <c r="AC44" s="54"/>
      <c r="AD44" s="54"/>
      <c r="AE44" s="113"/>
      <c r="AN44" s="292"/>
      <c r="AO44" s="293"/>
      <c r="AP44" s="398"/>
      <c r="AQ44" s="398"/>
      <c r="AR44" s="398"/>
      <c r="AS44" s="290"/>
      <c r="AT44" s="291"/>
      <c r="AU44" s="291"/>
      <c r="AV44" s="290"/>
      <c r="AW44" s="291"/>
      <c r="AX44" s="291"/>
      <c r="AY44" s="290"/>
    </row>
    <row r="45" spans="2:51" ht="11.25" customHeight="1">
      <c r="B45" s="128"/>
      <c r="C45" s="123"/>
      <c r="D45" s="129"/>
      <c r="E45" s="122"/>
      <c r="F45" s="122"/>
      <c r="G45" s="122"/>
      <c r="H45" s="122"/>
      <c r="I45" s="122"/>
      <c r="J45" s="123"/>
      <c r="K45" s="122"/>
      <c r="L45" s="122"/>
      <c r="M45" s="122"/>
      <c r="N45" s="122"/>
      <c r="O45" s="122"/>
      <c r="P45" s="122"/>
      <c r="Q45" s="123"/>
      <c r="R45" s="122"/>
      <c r="S45" s="122"/>
      <c r="T45" s="122"/>
      <c r="U45" s="122"/>
      <c r="V45" s="122"/>
      <c r="W45" s="122"/>
      <c r="X45" s="123"/>
      <c r="Y45" s="122"/>
      <c r="Z45" s="122"/>
      <c r="AA45" s="122"/>
      <c r="AB45" s="122"/>
      <c r="AC45" s="122"/>
      <c r="AD45" s="122"/>
      <c r="AE45" s="124"/>
      <c r="AN45" s="292"/>
      <c r="AO45" s="293"/>
      <c r="AP45" s="398"/>
      <c r="AQ45" s="398"/>
      <c r="AR45" s="398"/>
      <c r="AS45" s="290"/>
      <c r="AT45" s="291"/>
      <c r="AU45" s="291"/>
      <c r="AV45" s="290"/>
      <c r="AW45" s="291"/>
      <c r="AX45" s="291"/>
      <c r="AY45" s="290"/>
    </row>
    <row r="46" spans="2:51" ht="4.5" customHeight="1">
      <c r="AN46" s="292"/>
      <c r="AO46" s="293"/>
      <c r="AP46" s="398"/>
      <c r="AQ46" s="398"/>
      <c r="AR46" s="398"/>
      <c r="AS46" s="290"/>
      <c r="AT46" s="291"/>
      <c r="AU46" s="291"/>
      <c r="AV46" s="290"/>
      <c r="AW46" s="291"/>
      <c r="AX46" s="291"/>
      <c r="AY46" s="290"/>
    </row>
    <row r="47" spans="2:51" ht="13.5" thickBot="1">
      <c r="D47" s="54"/>
      <c r="H47" s="125"/>
      <c r="I47" s="61"/>
      <c r="J47" s="167"/>
      <c r="K47" s="61"/>
      <c r="L47" s="61"/>
      <c r="M47" s="61"/>
      <c r="N47" s="61"/>
      <c r="O47" s="61"/>
      <c r="P47" s="61"/>
      <c r="Q47" s="167"/>
      <c r="R47" s="61"/>
      <c r="S47" s="61"/>
      <c r="T47" s="61"/>
      <c r="U47" s="61"/>
      <c r="V47" s="61"/>
      <c r="W47" s="61"/>
      <c r="X47" s="167"/>
      <c r="Y47" s="61"/>
      <c r="Z47" s="61"/>
      <c r="AA47" s="61"/>
      <c r="AB47" s="61"/>
      <c r="AC47" s="61"/>
      <c r="AD47" s="61"/>
      <c r="AE47" s="3"/>
      <c r="AN47" s="292"/>
      <c r="AO47" s="293"/>
      <c r="AP47" s="398"/>
      <c r="AQ47" s="398"/>
      <c r="AR47" s="398"/>
      <c r="AS47" s="290"/>
      <c r="AT47" s="291"/>
      <c r="AU47" s="291"/>
      <c r="AV47" s="290"/>
      <c r="AW47" s="291"/>
      <c r="AX47" s="291"/>
      <c r="AY47" s="290"/>
    </row>
    <row r="48" spans="2:51">
      <c r="D48" s="54"/>
      <c r="H48" s="126"/>
      <c r="I48" s="388" t="s">
        <v>48</v>
      </c>
      <c r="J48" s="388"/>
      <c r="K48" s="388"/>
      <c r="L48" s="388"/>
      <c r="M48" s="388"/>
      <c r="N48" s="388"/>
      <c r="O48" s="388"/>
      <c r="P48" s="388"/>
      <c r="Q48" s="388"/>
      <c r="R48" s="388"/>
      <c r="S48" s="388"/>
      <c r="T48" s="388"/>
      <c r="U48" s="388"/>
      <c r="V48" s="388"/>
      <c r="W48" s="388"/>
      <c r="X48" s="68"/>
      <c r="Y48" s="389" t="s">
        <v>0</v>
      </c>
      <c r="Z48" s="390"/>
      <c r="AA48" s="390"/>
      <c r="AB48" s="390"/>
      <c r="AC48" s="390"/>
      <c r="AD48" s="391"/>
      <c r="AE48" s="113"/>
      <c r="AN48" s="292"/>
      <c r="AO48" s="293"/>
      <c r="AP48" s="398"/>
      <c r="AQ48" s="398"/>
      <c r="AR48" s="398"/>
      <c r="AS48" s="290"/>
      <c r="AT48" s="291"/>
      <c r="AU48" s="291"/>
      <c r="AV48" s="290"/>
      <c r="AW48" s="291"/>
      <c r="AX48" s="291"/>
      <c r="AY48" s="290"/>
    </row>
    <row r="49" spans="2:53" ht="13.5" thickBot="1">
      <c r="B49" s="401"/>
      <c r="C49" s="401"/>
      <c r="D49" s="401"/>
      <c r="E49" s="182"/>
      <c r="H49" s="126"/>
      <c r="I49" s="388"/>
      <c r="J49" s="388"/>
      <c r="K49" s="388"/>
      <c r="L49" s="388"/>
      <c r="M49" s="388"/>
      <c r="N49" s="388"/>
      <c r="O49" s="388"/>
      <c r="P49" s="388"/>
      <c r="Q49" s="388"/>
      <c r="R49" s="388"/>
      <c r="S49" s="388"/>
      <c r="T49" s="388"/>
      <c r="U49" s="388"/>
      <c r="V49" s="388"/>
      <c r="W49" s="388"/>
      <c r="X49" s="68"/>
      <c r="Y49" s="392"/>
      <c r="Z49" s="393"/>
      <c r="AA49" s="393"/>
      <c r="AB49" s="393"/>
      <c r="AC49" s="393"/>
      <c r="AD49" s="394"/>
      <c r="AE49" s="113"/>
      <c r="AN49" s="292"/>
      <c r="AO49" s="293"/>
      <c r="AP49" s="398"/>
      <c r="AQ49" s="398"/>
      <c r="AR49" s="398"/>
      <c r="AS49" s="290"/>
      <c r="AT49" s="291"/>
      <c r="AU49" s="291"/>
      <c r="AV49" s="290"/>
      <c r="AW49" s="291"/>
      <c r="AX49" s="291"/>
      <c r="AY49" s="290"/>
    </row>
    <row r="50" spans="2:53" ht="15.75">
      <c r="H50" s="126"/>
      <c r="I50" s="369" t="str">
        <f>IF(I31="1ª Meia Final-Jogador1",CONCATENATE("Vencido do jogo ",H31),IF(I31=C30,C32,C30))</f>
        <v>Vencido do jogo 25</v>
      </c>
      <c r="J50" s="369"/>
      <c r="K50" s="370"/>
      <c r="L50" s="69"/>
      <c r="M50" s="69"/>
      <c r="N50" s="70"/>
      <c r="O50" s="38" t="str">
        <f>IF(COUNT(L50:N50)&lt;1,"",IF(SUM(IF(L50&gt;L54,1,0),IF(M50&gt;M54,1,0),IF(N50&gt;N54,1,0))&gt;2,"??",SUM(IF(L50&gt;L54,1,0),IF(M50&gt;M54,1,0),IF(N50&gt;N54,1,0))))</f>
        <v/>
      </c>
      <c r="P50" s="55"/>
      <c r="Q50" s="40"/>
      <c r="R50" s="55"/>
      <c r="S50" s="55"/>
      <c r="T50" s="55"/>
      <c r="U50" s="55"/>
      <c r="V50" s="55"/>
      <c r="W50" s="54"/>
      <c r="X50" s="68"/>
      <c r="Y50" s="395" t="str">
        <f>IF(X56="5º Classificado","",X56)</f>
        <v/>
      </c>
      <c r="Z50" s="396"/>
      <c r="AA50" s="396"/>
      <c r="AB50" s="396"/>
      <c r="AC50" s="396"/>
      <c r="AD50" s="39" t="s">
        <v>36</v>
      </c>
      <c r="AE50" s="113"/>
      <c r="AN50" s="292"/>
      <c r="AO50" s="293"/>
      <c r="AP50" s="398"/>
      <c r="AQ50" s="398"/>
      <c r="AR50" s="398"/>
      <c r="AS50" s="290"/>
      <c r="AT50" s="291"/>
      <c r="AU50" s="291"/>
      <c r="AV50" s="290"/>
      <c r="AW50" s="291"/>
      <c r="AX50" s="291"/>
      <c r="AY50" s="290"/>
    </row>
    <row r="51" spans="2:53" ht="15" customHeight="1">
      <c r="H51" s="126"/>
      <c r="I51" s="55"/>
      <c r="J51" s="40"/>
      <c r="K51" s="59"/>
      <c r="L51" s="55"/>
      <c r="M51" s="41"/>
      <c r="N51" s="41"/>
      <c r="O51" s="42"/>
      <c r="P51" s="36"/>
      <c r="Q51" s="40"/>
      <c r="R51" s="55"/>
      <c r="S51" s="55"/>
      <c r="T51" s="55"/>
      <c r="U51" s="55"/>
      <c r="V51" s="60"/>
      <c r="W51" s="53"/>
      <c r="X51" s="48"/>
      <c r="Y51" s="384" t="str">
        <f>IF(Y50="","",IF(Y50=P52,P60,P52))</f>
        <v/>
      </c>
      <c r="Z51" s="385" t="e">
        <f>IF(#REF!="","",IF(#REF!=W51,"","(2º) "))</f>
        <v>#REF!</v>
      </c>
      <c r="AA51" s="385" t="e">
        <f>IF(#REF!="","",IF(#REF!=X51,"","(2º) "))</f>
        <v>#REF!</v>
      </c>
      <c r="AB51" s="385" t="e">
        <f>IF(#REF!="","",IF(#REF!=Y51,"","(2º) "))</f>
        <v>#REF!</v>
      </c>
      <c r="AC51" s="385" t="e">
        <f>IF(#REF!="","",IF(#REF!=Z51,"","(2º) "))</f>
        <v>#REF!</v>
      </c>
      <c r="AD51" s="43" t="s">
        <v>37</v>
      </c>
      <c r="AE51" s="113"/>
      <c r="AN51" s="292"/>
      <c r="AO51" s="293"/>
      <c r="AP51" s="398"/>
      <c r="AQ51" s="398"/>
      <c r="AR51" s="398"/>
      <c r="AS51" s="290"/>
      <c r="AT51" s="291"/>
      <c r="AU51" s="291"/>
      <c r="AV51" s="290"/>
      <c r="AW51" s="291"/>
      <c r="AX51" s="291"/>
      <c r="AY51" s="290"/>
    </row>
    <row r="52" spans="2:53" ht="15" customHeight="1">
      <c r="H52" s="126"/>
      <c r="I52" s="55"/>
      <c r="J52" s="40"/>
      <c r="K52" s="59"/>
      <c r="L52" s="55"/>
      <c r="M52" s="42"/>
      <c r="N52" s="42"/>
      <c r="O52" s="64">
        <v>33</v>
      </c>
      <c r="P52" s="374" t="str">
        <f>IF(OR(O50="",O54="")=TRUE,"Disputa 5º/6º Jogador1",IF(O50&gt;O54,I50,I54))</f>
        <v>Disputa 5º/6º Jogador1</v>
      </c>
      <c r="Q52" s="369"/>
      <c r="R52" s="369"/>
      <c r="S52" s="370"/>
      <c r="T52" s="69"/>
      <c r="U52" s="69"/>
      <c r="V52" s="69"/>
      <c r="W52" s="45" t="str">
        <f>IF(COUNT(T52:V52)&lt;1,"",IF(SUM(IF(T52&gt;T60,1,0),IF(U52&gt;U60,1,0),IF(V52&gt;V60,1,0))&gt;2,"??",SUM(IF(T52&gt;T60,1,0),IF(U52&gt;U60,1,0),IF(V52&gt;V60,1,0))))</f>
        <v/>
      </c>
      <c r="X52" s="48"/>
      <c r="Y52" s="384" t="str">
        <f>IF(P56="7º Classificado","",P56)</f>
        <v/>
      </c>
      <c r="Z52" s="385"/>
      <c r="AA52" s="385"/>
      <c r="AB52" s="385"/>
      <c r="AC52" s="385"/>
      <c r="AD52" s="43" t="s">
        <v>38</v>
      </c>
      <c r="AE52" s="113"/>
      <c r="AN52" s="292"/>
      <c r="AO52" s="293"/>
      <c r="AP52" s="398"/>
      <c r="AQ52" s="398"/>
      <c r="AR52" s="398"/>
      <c r="AS52" s="290"/>
      <c r="AT52" s="291"/>
      <c r="AU52" s="291"/>
      <c r="AV52" s="290"/>
      <c r="AW52" s="291"/>
      <c r="AX52" s="291"/>
      <c r="AY52" s="290"/>
    </row>
    <row r="53" spans="2:53" ht="15.75" thickBot="1">
      <c r="H53" s="126"/>
      <c r="I53" s="55"/>
      <c r="J53" s="40"/>
      <c r="K53" s="59"/>
      <c r="L53" s="55"/>
      <c r="M53" s="42"/>
      <c r="N53" s="42"/>
      <c r="O53" s="42"/>
      <c r="P53" s="36"/>
      <c r="Q53" s="40"/>
      <c r="R53" s="55"/>
      <c r="S53" s="46"/>
      <c r="T53" s="42"/>
      <c r="U53" s="42"/>
      <c r="V53" s="67"/>
      <c r="W53" s="47"/>
      <c r="X53" s="48"/>
      <c r="Y53" s="386" t="str">
        <f>IF(Y52="","",IF(Y52=P54,P58,P54))</f>
        <v/>
      </c>
      <c r="Z53" s="387" t="e">
        <f>IF(#REF!="","",IF(#REF!=W53,"","(2º) "))</f>
        <v>#REF!</v>
      </c>
      <c r="AA53" s="387" t="e">
        <f>IF(#REF!="","",IF(#REF!=X53,"","(2º) "))</f>
        <v>#REF!</v>
      </c>
      <c r="AB53" s="387" t="e">
        <f>IF(#REF!="","",IF(#REF!=Y53,"","(2º) "))</f>
        <v>#REF!</v>
      </c>
      <c r="AC53" s="387" t="e">
        <f>IF(#REF!="","",IF(#REF!=Z53,"","(2º) "))</f>
        <v>#REF!</v>
      </c>
      <c r="AD53" s="164" t="s">
        <v>39</v>
      </c>
      <c r="AE53" s="113"/>
      <c r="AN53" s="292"/>
      <c r="AO53" s="293"/>
      <c r="AP53" s="398"/>
      <c r="AQ53" s="398"/>
      <c r="AR53" s="398"/>
      <c r="AS53" s="290"/>
      <c r="AT53" s="291"/>
      <c r="AU53" s="291"/>
      <c r="AV53" s="290"/>
      <c r="AW53" s="291"/>
      <c r="AX53" s="291"/>
      <c r="AY53" s="290"/>
    </row>
    <row r="54" spans="2:53" ht="15">
      <c r="H54" s="126"/>
      <c r="I54" s="369" t="str">
        <f>IF(I35="1ª Meia Final-Jogador2",CONCATENATE("Vencido do jogo ",H35),IF(I35=C34,C36,C34))</f>
        <v>Vencido do jogo 26</v>
      </c>
      <c r="J54" s="369"/>
      <c r="K54" s="370"/>
      <c r="L54" s="69"/>
      <c r="M54" s="69"/>
      <c r="N54" s="70"/>
      <c r="O54" s="38" t="str">
        <f>IF(COUNT(L54:N54)&lt;1,"",IF(SUM(IF(L50&lt;L54,1,0),IF(M50&lt;M54,1,0),IF(N50&lt;N54,1,0))&gt;2,"??",SUM(IF(L50&lt;L54,1,0),IF(M50&lt;M54,1,0),IF(N50&lt;N54,1,0))))</f>
        <v/>
      </c>
      <c r="P54" s="371" t="str">
        <f>IF(P52="Disputa 5º/6º Jogador1","Disputa 7º/8º  Jogador1",IF(P52=I50,I54,I50))</f>
        <v>Disputa 7º/8º  Jogador1</v>
      </c>
      <c r="Q54" s="399"/>
      <c r="R54" s="400"/>
      <c r="S54" s="69"/>
      <c r="T54" s="69"/>
      <c r="U54" s="69"/>
      <c r="V54" s="49" t="str">
        <f>IF(COUNT(S54:U54)&lt;1,"",IF(SUM(IF(S54&gt;S58,1,0),IF(T54&gt;T58,1,0),IF(U54&gt;U58,1,0))&gt;2,"??",SUM(IF(S54&gt;S58,1,0),IF(T54&gt;T58,1,0),IF(U54&gt;U58,1,0))))</f>
        <v/>
      </c>
      <c r="W54" s="50"/>
      <c r="X54" s="48"/>
      <c r="Y54" s="53"/>
      <c r="Z54" s="53"/>
      <c r="AA54" s="53"/>
      <c r="AB54" s="53"/>
      <c r="AC54" s="53"/>
      <c r="AD54" s="54"/>
      <c r="AE54" s="113"/>
      <c r="AN54" s="292"/>
      <c r="AO54" s="293"/>
      <c r="AP54" s="398"/>
      <c r="AQ54" s="398"/>
      <c r="AR54" s="398"/>
      <c r="AS54" s="290"/>
      <c r="AT54" s="291"/>
      <c r="AU54" s="291"/>
      <c r="AV54" s="290"/>
      <c r="AW54" s="291"/>
      <c r="AX54" s="291"/>
      <c r="AY54" s="290"/>
    </row>
    <row r="55" spans="2:53" ht="12.75" customHeight="1">
      <c r="H55" s="126"/>
      <c r="I55" s="55"/>
      <c r="J55" s="40"/>
      <c r="K55" s="59"/>
      <c r="L55" s="46"/>
      <c r="M55" s="42"/>
      <c r="N55" s="42"/>
      <c r="O55" s="42"/>
      <c r="P55" s="55"/>
      <c r="Q55" s="51"/>
      <c r="R55" s="46"/>
      <c r="S55" s="46"/>
      <c r="T55" s="41"/>
      <c r="U55" s="41"/>
      <c r="V55" s="52"/>
      <c r="W55" s="50"/>
      <c r="X55" s="48"/>
      <c r="Y55" s="53"/>
      <c r="Z55" s="53"/>
      <c r="AA55" s="53"/>
      <c r="AB55" s="53"/>
      <c r="AC55" s="53"/>
      <c r="AD55" s="54"/>
      <c r="AE55" s="113"/>
      <c r="AN55" s="176"/>
      <c r="AO55" s="285"/>
      <c r="AP55" s="285"/>
      <c r="AQ55" s="172"/>
      <c r="AR55" s="173"/>
      <c r="AS55" s="174"/>
      <c r="AT55" s="171"/>
      <c r="AU55" s="171"/>
      <c r="AV55" s="174"/>
      <c r="AW55" s="171"/>
      <c r="AX55" s="171"/>
      <c r="AY55" s="174"/>
      <c r="AZ55" s="108"/>
      <c r="BA55" s="108"/>
    </row>
    <row r="56" spans="2:53" ht="15.75">
      <c r="H56" s="126"/>
      <c r="I56" s="55"/>
      <c r="J56" s="40"/>
      <c r="K56" s="59"/>
      <c r="L56" s="55"/>
      <c r="M56" s="42"/>
      <c r="N56" s="42"/>
      <c r="O56" s="42"/>
      <c r="P56" s="397" t="str">
        <f>IF(OR(V54="",V58="")=TRUE,"7º Classificado",IF(V54&gt;V58,P54,P58))</f>
        <v>7º Classificado</v>
      </c>
      <c r="Q56" s="397"/>
      <c r="R56" s="397"/>
      <c r="S56" s="397"/>
      <c r="T56" s="397"/>
      <c r="U56" s="397"/>
      <c r="V56" s="65">
        <v>35</v>
      </c>
      <c r="W56" s="66">
        <v>36</v>
      </c>
      <c r="X56" s="381" t="str">
        <f>IF(OR(W52="",W60="")=TRUE,"5º Classificado",IF(W52&gt;W60,P52,P60))</f>
        <v>5º Classificado</v>
      </c>
      <c r="Y56" s="382"/>
      <c r="Z56" s="382"/>
      <c r="AA56" s="382"/>
      <c r="AB56" s="382"/>
      <c r="AC56" s="382"/>
      <c r="AD56" s="54"/>
      <c r="AE56" s="113"/>
      <c r="AN56" s="176"/>
      <c r="AO56" s="285"/>
      <c r="AP56" s="285"/>
      <c r="AQ56" s="172"/>
      <c r="AR56" s="173"/>
      <c r="AS56" s="174"/>
      <c r="AT56" s="171"/>
      <c r="AU56" s="171"/>
      <c r="AV56" s="174"/>
      <c r="AW56" s="171"/>
      <c r="AX56" s="171"/>
      <c r="AY56" s="174"/>
      <c r="AZ56" s="108"/>
      <c r="BA56" s="108"/>
    </row>
    <row r="57" spans="2:53" ht="15">
      <c r="H57" s="126"/>
      <c r="I57" s="55"/>
      <c r="J57" s="40"/>
      <c r="K57" s="59"/>
      <c r="L57" s="55"/>
      <c r="M57" s="42"/>
      <c r="N57" s="42"/>
      <c r="O57" s="42"/>
      <c r="P57" s="55"/>
      <c r="Q57" s="40"/>
      <c r="R57" s="55"/>
      <c r="S57" s="55"/>
      <c r="T57" s="42"/>
      <c r="U57" s="42"/>
      <c r="V57" s="56"/>
      <c r="W57" s="50"/>
      <c r="X57" s="48"/>
      <c r="Y57" s="383"/>
      <c r="Z57" s="383"/>
      <c r="AA57" s="383"/>
      <c r="AB57" s="383"/>
      <c r="AC57" s="383"/>
      <c r="AD57" s="54"/>
      <c r="AE57" s="113"/>
      <c r="AN57" s="176"/>
      <c r="AO57" s="285"/>
      <c r="AP57" s="285"/>
      <c r="AQ57" s="172"/>
      <c r="AR57" s="173"/>
      <c r="AS57" s="174"/>
      <c r="AT57" s="171"/>
      <c r="AU57" s="171"/>
      <c r="AV57" s="174"/>
      <c r="AW57" s="171"/>
      <c r="AX57" s="171"/>
      <c r="AY57" s="174"/>
      <c r="AZ57" s="108"/>
      <c r="BA57" s="108"/>
    </row>
    <row r="58" spans="2:53" ht="15">
      <c r="H58" s="126"/>
      <c r="I58" s="369" t="str">
        <f>IF(I39="2ª Meia Final-Jogador1",CONCATENATE("Vencido do jogo ",H39),IF(I39=C38,C40,C38))</f>
        <v>Vencido do jogo 27</v>
      </c>
      <c r="J58" s="369"/>
      <c r="K58" s="370"/>
      <c r="L58" s="69"/>
      <c r="M58" s="69"/>
      <c r="N58" s="70"/>
      <c r="O58" s="38" t="str">
        <f>IF(COUNT(L58:N58)&lt;1,"",IF(SUM(IF(L58&gt;L62,1,0),IF(M58&gt;M62,1,0),IF(N58&gt;N62,1,0))&gt;2,"??",SUM(IF(L58&gt;L62,1,0),IF(M58&gt;M62,1,0),IF(N58&gt;N62,1,0))))</f>
        <v/>
      </c>
      <c r="P58" s="371" t="str">
        <f>IF(P60="Disputa 5º/6º Jogador2","Disputa 7º/8º  Jogador2",IF(P60=I58,I62,I58))</f>
        <v>Disputa 7º/8º  Jogador2</v>
      </c>
      <c r="Q58" s="372"/>
      <c r="R58" s="373"/>
      <c r="S58" s="69"/>
      <c r="T58" s="69"/>
      <c r="U58" s="69"/>
      <c r="V58" s="49" t="str">
        <f>IF(COUNT(S58:U58)&lt;1,"",IF(SUM(IF(S54&lt;S58,1,0),IF(T54&lt;T58,1,0),IF(U54&lt;U58,1,0))&gt;2,"??",SUM(IF(S54&lt;S58,1,0),IF(T54&lt;T58,1,0),IF(U54&lt;U58,1,0))))</f>
        <v/>
      </c>
      <c r="W58" s="50"/>
      <c r="X58" s="48"/>
      <c r="Y58" s="53"/>
      <c r="Z58" s="53"/>
      <c r="AA58" s="53"/>
      <c r="AB58" s="57"/>
      <c r="AC58" s="57"/>
      <c r="AD58" s="58"/>
      <c r="AE58" s="113"/>
      <c r="AN58" s="176"/>
      <c r="AO58" s="285"/>
      <c r="AP58" s="285"/>
      <c r="AQ58" s="172"/>
      <c r="AR58" s="173"/>
      <c r="AS58" s="174"/>
      <c r="AT58" s="171"/>
      <c r="AU58" s="171"/>
      <c r="AV58" s="174"/>
      <c r="AW58" s="171"/>
      <c r="AX58" s="171"/>
      <c r="AY58" s="174"/>
      <c r="AZ58" s="108"/>
      <c r="BA58" s="108"/>
    </row>
    <row r="59" spans="2:53">
      <c r="H59" s="126"/>
      <c r="I59" s="55"/>
      <c r="J59" s="40"/>
      <c r="K59" s="59"/>
      <c r="L59" s="55"/>
      <c r="M59" s="41"/>
      <c r="N59" s="41"/>
      <c r="O59" s="42"/>
      <c r="P59" s="36"/>
      <c r="Q59" s="51"/>
      <c r="R59" s="46"/>
      <c r="S59" s="55"/>
      <c r="T59" s="42"/>
      <c r="U59" s="42"/>
      <c r="V59" s="67"/>
      <c r="W59" s="50"/>
      <c r="X59" s="48"/>
      <c r="Y59" s="53"/>
      <c r="Z59" s="53"/>
      <c r="AA59" s="53"/>
      <c r="AB59" s="53"/>
      <c r="AC59" s="53"/>
      <c r="AD59" s="54"/>
      <c r="AE59" s="113"/>
    </row>
    <row r="60" spans="2:53" ht="15">
      <c r="H60" s="126"/>
      <c r="I60" s="55"/>
      <c r="J60" s="40"/>
      <c r="K60" s="59"/>
      <c r="L60" s="55"/>
      <c r="M60" s="42"/>
      <c r="N60" s="42"/>
      <c r="O60" s="64">
        <v>34</v>
      </c>
      <c r="P60" s="374" t="str">
        <f>IF(OR(O58="",O62="")=TRUE,"Disputa 5º/6º Jogador2",IF(O58&gt;O62,I58,I62))</f>
        <v>Disputa 5º/6º Jogador2</v>
      </c>
      <c r="Q60" s="369"/>
      <c r="R60" s="369"/>
      <c r="S60" s="370"/>
      <c r="T60" s="69"/>
      <c r="U60" s="69"/>
      <c r="V60" s="69"/>
      <c r="W60" s="45" t="str">
        <f>IF(COUNT(T60:V60)&lt;1,"",IF(SUM(IF(T52&lt;T60,1,0),IF(U52&lt;U60,1,0),IF(V52&lt;V60,1,0))&gt;2,"??",SUM(IF(T52&lt;T60,1,0),IF(U52&lt;U60,1,0),IF(V52&lt;V60,1,0))))</f>
        <v/>
      </c>
      <c r="X60" s="48"/>
      <c r="Y60" s="53"/>
      <c r="Z60" s="53"/>
      <c r="AA60" s="53"/>
      <c r="AB60" s="53"/>
      <c r="AC60" s="53"/>
      <c r="AD60" s="54"/>
      <c r="AE60" s="113"/>
    </row>
    <row r="61" spans="2:53" ht="15" customHeight="1">
      <c r="H61" s="126"/>
      <c r="I61" s="55"/>
      <c r="J61" s="40"/>
      <c r="K61" s="59"/>
      <c r="L61" s="55"/>
      <c r="M61" s="42"/>
      <c r="N61" s="42"/>
      <c r="O61" s="42"/>
      <c r="P61" s="36"/>
      <c r="Q61" s="40"/>
      <c r="R61" s="55"/>
      <c r="S61" s="46"/>
      <c r="T61" s="55"/>
      <c r="U61" s="55"/>
      <c r="V61" s="60"/>
      <c r="W61" s="53"/>
      <c r="X61" s="48"/>
      <c r="Y61" s="53"/>
      <c r="Z61" s="53"/>
      <c r="AA61" s="53"/>
      <c r="AB61" s="53"/>
      <c r="AC61" s="53"/>
      <c r="AD61" s="54"/>
      <c r="AE61" s="113"/>
    </row>
    <row r="62" spans="2:53" ht="15">
      <c r="H62" s="126"/>
      <c r="I62" s="369" t="str">
        <f>IF(I43="2ª Meia Final-Jogador2",CONCATENATE("Vencido do jogo ",H43),IF(I43=C42,C44,C42))</f>
        <v>Vencido do jogo 28</v>
      </c>
      <c r="J62" s="369"/>
      <c r="K62" s="370"/>
      <c r="L62" s="69"/>
      <c r="M62" s="69"/>
      <c r="N62" s="70"/>
      <c r="O62" s="35" t="str">
        <f>IF(COUNT(L62:N62)&lt;1,"",IF(SUM(IF(L58&lt;L62,1,0),IF(M58&lt;M62,1,0),IF(N58&lt;N62,1,0))&gt;2,"??",SUM(IF(L58&lt;L62,1,0),IF(M58&lt;M62,1,0),IF(N58&lt;N62,1,0))))</f>
        <v/>
      </c>
      <c r="P62" s="36"/>
      <c r="Q62" s="40"/>
      <c r="R62" s="55"/>
      <c r="S62" s="55"/>
      <c r="T62" s="55"/>
      <c r="U62" s="55"/>
      <c r="V62" s="55"/>
      <c r="W62" s="54"/>
      <c r="X62" s="68"/>
      <c r="Y62" s="54"/>
      <c r="Z62" s="54"/>
      <c r="AA62" s="54"/>
      <c r="AB62" s="54"/>
      <c r="AC62" s="54"/>
      <c r="AD62" s="54"/>
      <c r="AE62" s="113"/>
    </row>
    <row r="63" spans="2:53">
      <c r="H63" s="128"/>
      <c r="I63" s="168"/>
      <c r="J63" s="169"/>
      <c r="K63" s="168"/>
      <c r="L63" s="170"/>
      <c r="M63" s="168"/>
      <c r="N63" s="168"/>
      <c r="O63" s="168"/>
      <c r="P63" s="168"/>
      <c r="Q63" s="169"/>
      <c r="R63" s="168"/>
      <c r="S63" s="168"/>
      <c r="T63" s="168"/>
      <c r="U63" s="168"/>
      <c r="V63" s="168"/>
      <c r="W63" s="122"/>
      <c r="X63" s="123"/>
      <c r="Y63" s="122"/>
      <c r="Z63" s="122"/>
      <c r="AA63" s="122"/>
      <c r="AB63" s="122"/>
      <c r="AC63" s="122"/>
      <c r="AD63" s="122"/>
      <c r="AE63" s="124"/>
    </row>
    <row r="64" spans="2:53" ht="6" customHeight="1">
      <c r="H64" s="54"/>
    </row>
    <row r="65" spans="4:53" ht="13.5" thickBot="1">
      <c r="D65" s="54"/>
      <c r="H65" s="125"/>
      <c r="I65" s="61"/>
      <c r="J65" s="167"/>
      <c r="K65" s="61"/>
      <c r="L65" s="61"/>
      <c r="M65" s="61"/>
      <c r="N65" s="61"/>
      <c r="O65" s="61"/>
      <c r="P65" s="61"/>
      <c r="Q65" s="167"/>
      <c r="R65" s="61"/>
      <c r="S65" s="61"/>
      <c r="T65" s="61"/>
      <c r="U65" s="61"/>
      <c r="V65" s="61"/>
      <c r="W65" s="61"/>
      <c r="X65" s="167"/>
      <c r="Y65" s="61"/>
      <c r="Z65" s="61"/>
      <c r="AA65" s="61"/>
      <c r="AB65" s="61"/>
      <c r="AC65" s="61"/>
      <c r="AD65" s="61"/>
      <c r="AE65" s="3"/>
      <c r="AN65" s="176"/>
      <c r="AO65" s="285"/>
      <c r="AP65" s="379"/>
      <c r="AQ65" s="379"/>
      <c r="AR65" s="379"/>
      <c r="AS65" s="174"/>
      <c r="AT65" s="171"/>
      <c r="AU65" s="171"/>
      <c r="AV65" s="174"/>
      <c r="AW65" s="171"/>
      <c r="AX65" s="171"/>
      <c r="AY65" s="174"/>
    </row>
    <row r="66" spans="4:53">
      <c r="D66" s="54"/>
      <c r="H66" s="126"/>
      <c r="I66" s="388" t="s">
        <v>55</v>
      </c>
      <c r="J66" s="388"/>
      <c r="K66" s="388"/>
      <c r="L66" s="388"/>
      <c r="M66" s="388"/>
      <c r="N66" s="388"/>
      <c r="O66" s="388"/>
      <c r="P66" s="388"/>
      <c r="Q66" s="388"/>
      <c r="R66" s="388"/>
      <c r="S66" s="388"/>
      <c r="T66" s="388"/>
      <c r="U66" s="388"/>
      <c r="V66" s="388"/>
      <c r="W66" s="388"/>
      <c r="X66" s="68"/>
      <c r="Y66" s="389" t="s">
        <v>0</v>
      </c>
      <c r="Z66" s="390"/>
      <c r="AA66" s="390"/>
      <c r="AB66" s="390"/>
      <c r="AC66" s="390"/>
      <c r="AD66" s="391"/>
      <c r="AE66" s="113"/>
      <c r="AN66" s="176"/>
      <c r="AO66" s="285"/>
      <c r="AP66" s="379"/>
      <c r="AQ66" s="379"/>
      <c r="AR66" s="379"/>
      <c r="AS66" s="174"/>
      <c r="AT66" s="171"/>
      <c r="AU66" s="171"/>
      <c r="AV66" s="174"/>
      <c r="AW66" s="171"/>
      <c r="AX66" s="171"/>
      <c r="AY66" s="174"/>
    </row>
    <row r="67" spans="4:53" ht="13.5" thickBot="1">
      <c r="D67" s="54"/>
      <c r="H67" s="126"/>
      <c r="I67" s="388"/>
      <c r="J67" s="388"/>
      <c r="K67" s="388"/>
      <c r="L67" s="388"/>
      <c r="M67" s="388"/>
      <c r="N67" s="388"/>
      <c r="O67" s="388"/>
      <c r="P67" s="388"/>
      <c r="Q67" s="388"/>
      <c r="R67" s="388"/>
      <c r="S67" s="388"/>
      <c r="T67" s="388"/>
      <c r="U67" s="388"/>
      <c r="V67" s="388"/>
      <c r="W67" s="388"/>
      <c r="X67" s="68"/>
      <c r="Y67" s="392"/>
      <c r="Z67" s="393"/>
      <c r="AA67" s="393"/>
      <c r="AB67" s="393"/>
      <c r="AC67" s="393"/>
      <c r="AD67" s="394"/>
      <c r="AE67" s="113"/>
      <c r="AN67" s="176"/>
      <c r="AO67" s="285"/>
      <c r="AP67" s="379"/>
      <c r="AQ67" s="379"/>
      <c r="AR67" s="379"/>
      <c r="AS67" s="174"/>
      <c r="AT67" s="171"/>
      <c r="AU67" s="171"/>
      <c r="AV67" s="174"/>
      <c r="AW67" s="171"/>
      <c r="AX67" s="171"/>
      <c r="AY67" s="174"/>
    </row>
    <row r="68" spans="4:53" ht="15.75">
      <c r="H68" s="126"/>
      <c r="I68" s="369" t="str">
        <f>IF(D14="","3º  do Grupo A",D14)</f>
        <v>3º  do Grupo A</v>
      </c>
      <c r="J68" s="369"/>
      <c r="K68" s="370"/>
      <c r="L68" s="69"/>
      <c r="M68" s="69"/>
      <c r="N68" s="70"/>
      <c r="O68" s="38" t="str">
        <f>IF(COUNT(L68:N68)&lt;1,"",IF(SUM(IF(L68&gt;L72,1,0),IF(M68&gt;M72,1,0),IF(N68&gt;N72,1,0))&gt;2,"??",SUM(IF(L68&gt;L72,1,0),IF(M68&gt;M72,1,0),IF(N68&gt;N72,1,0))))</f>
        <v/>
      </c>
      <c r="P68" s="55"/>
      <c r="Q68" s="40"/>
      <c r="R68" s="55"/>
      <c r="S68" s="55"/>
      <c r="T68" s="55"/>
      <c r="U68" s="55"/>
      <c r="V68" s="55"/>
      <c r="W68" s="54"/>
      <c r="X68" s="68"/>
      <c r="Y68" s="395" t="str">
        <f>IF(X74="9º Classificado","",X74)</f>
        <v/>
      </c>
      <c r="Z68" s="396"/>
      <c r="AA68" s="396"/>
      <c r="AB68" s="396"/>
      <c r="AC68" s="396"/>
      <c r="AD68" s="39" t="s">
        <v>56</v>
      </c>
      <c r="AE68" s="113"/>
      <c r="AN68" s="176"/>
      <c r="AO68" s="285"/>
      <c r="AP68" s="379"/>
      <c r="AQ68" s="379"/>
      <c r="AR68" s="379"/>
      <c r="AS68" s="174"/>
      <c r="AT68" s="171"/>
      <c r="AU68" s="171"/>
      <c r="AV68" s="174"/>
      <c r="AW68" s="171"/>
      <c r="AX68" s="171"/>
      <c r="AY68" s="174"/>
    </row>
    <row r="69" spans="4:53" ht="15" customHeight="1">
      <c r="H69" s="126"/>
      <c r="I69" s="55"/>
      <c r="J69" s="40"/>
      <c r="K69" s="59"/>
      <c r="L69" s="55"/>
      <c r="M69" s="41"/>
      <c r="N69" s="41"/>
      <c r="O69" s="42"/>
      <c r="P69" s="36"/>
      <c r="Q69" s="40"/>
      <c r="R69" s="55"/>
      <c r="S69" s="55"/>
      <c r="T69" s="55"/>
      <c r="U69" s="55"/>
      <c r="V69" s="60"/>
      <c r="W69" s="53"/>
      <c r="X69" s="48"/>
      <c r="Y69" s="384" t="str">
        <f>IF(Y68="","",IF(Y68=P70,P78,P70))</f>
        <v/>
      </c>
      <c r="Z69" s="385" t="e">
        <f>IF(#REF!="","",IF(#REF!=W69,"","(2º) "))</f>
        <v>#REF!</v>
      </c>
      <c r="AA69" s="385" t="e">
        <f>IF(#REF!="","",IF(#REF!=X69,"","(2º) "))</f>
        <v>#REF!</v>
      </c>
      <c r="AB69" s="385" t="e">
        <f>IF(#REF!="","",IF(#REF!=Y69,"","(2º) "))</f>
        <v>#REF!</v>
      </c>
      <c r="AC69" s="385" t="e">
        <f>IF(#REF!="","",IF(#REF!=Z69,"","(2º) "))</f>
        <v>#REF!</v>
      </c>
      <c r="AD69" s="43" t="s">
        <v>57</v>
      </c>
      <c r="AE69" s="113"/>
      <c r="AN69" s="176"/>
      <c r="AO69" s="285"/>
      <c r="AP69" s="379"/>
      <c r="AQ69" s="379"/>
      <c r="AR69" s="379"/>
      <c r="AS69" s="174"/>
      <c r="AT69" s="171"/>
      <c r="AU69" s="171"/>
      <c r="AV69" s="174"/>
      <c r="AW69" s="171"/>
      <c r="AX69" s="171"/>
      <c r="AY69" s="174"/>
    </row>
    <row r="70" spans="4:53" ht="15" customHeight="1">
      <c r="H70" s="126"/>
      <c r="I70" s="55"/>
      <c r="J70" s="40"/>
      <c r="K70" s="59"/>
      <c r="L70" s="55"/>
      <c r="M70" s="42"/>
      <c r="N70" s="42"/>
      <c r="O70" s="64">
        <v>37</v>
      </c>
      <c r="P70" s="374" t="str">
        <f>IF(OR(O68="",O72="")=TRUE,"Disputa 9º/10º Jogador1",IF(O68&gt;O72,I68,I72))</f>
        <v>Disputa 9º/10º Jogador1</v>
      </c>
      <c r="Q70" s="369"/>
      <c r="R70" s="369"/>
      <c r="S70" s="370"/>
      <c r="T70" s="69"/>
      <c r="U70" s="69"/>
      <c r="V70" s="69"/>
      <c r="W70" s="45" t="str">
        <f>IF(COUNT(T70:V70)&lt;1,"",IF(SUM(IF(T70&gt;T78,1,0),IF(U70&gt;U78,1,0),IF(V70&gt;V78,1,0))&gt;2,"??",SUM(IF(T70&gt;T78,1,0),IF(U70&gt;U78,1,0),IF(V70&gt;V78,1,0))))</f>
        <v/>
      </c>
      <c r="X70" s="48"/>
      <c r="Y70" s="384" t="str">
        <f>IF(P74="11º Classificado","",P74)</f>
        <v/>
      </c>
      <c r="Z70" s="385"/>
      <c r="AA70" s="385"/>
      <c r="AB70" s="385"/>
      <c r="AC70" s="385"/>
      <c r="AD70" s="43" t="s">
        <v>58</v>
      </c>
      <c r="AE70" s="113"/>
      <c r="AN70" s="176"/>
      <c r="AO70" s="285"/>
      <c r="AP70" s="379"/>
      <c r="AQ70" s="379"/>
      <c r="AR70" s="379"/>
      <c r="AS70" s="174"/>
      <c r="AT70" s="171"/>
      <c r="AU70" s="171"/>
      <c r="AV70" s="174"/>
      <c r="AW70" s="171"/>
      <c r="AX70" s="171"/>
      <c r="AY70" s="174"/>
    </row>
    <row r="71" spans="4:53" ht="15.75" thickBot="1">
      <c r="H71" s="126"/>
      <c r="I71" s="55"/>
      <c r="J71" s="40"/>
      <c r="K71" s="59"/>
      <c r="L71" s="55"/>
      <c r="M71" s="42"/>
      <c r="N71" s="42"/>
      <c r="O71" s="42"/>
      <c r="P71" s="36"/>
      <c r="Q71" s="40"/>
      <c r="R71" s="55"/>
      <c r="S71" s="46"/>
      <c r="T71" s="42"/>
      <c r="U71" s="42"/>
      <c r="V71" s="67"/>
      <c r="W71" s="47"/>
      <c r="X71" s="48"/>
      <c r="Y71" s="386" t="str">
        <f>IF(Y70="","",IF(Y70=P72,P76,P72))</f>
        <v/>
      </c>
      <c r="Z71" s="387"/>
      <c r="AA71" s="387"/>
      <c r="AB71" s="387"/>
      <c r="AC71" s="387"/>
      <c r="AD71" s="164" t="s">
        <v>59</v>
      </c>
      <c r="AE71" s="113"/>
      <c r="AN71" s="176"/>
      <c r="AO71" s="285"/>
      <c r="AP71" s="379"/>
      <c r="AQ71" s="379"/>
      <c r="AR71" s="379"/>
      <c r="AS71" s="174"/>
      <c r="AT71" s="171"/>
      <c r="AU71" s="171"/>
      <c r="AV71" s="174"/>
      <c r="AW71" s="171"/>
      <c r="AX71" s="171"/>
      <c r="AY71" s="174"/>
    </row>
    <row r="72" spans="4:53" ht="15">
      <c r="H72" s="126"/>
      <c r="I72" s="369" t="str">
        <f>IF(K14="","3º  do Grupo B",K14)</f>
        <v>3º  do Grupo B</v>
      </c>
      <c r="J72" s="369"/>
      <c r="K72" s="370"/>
      <c r="L72" s="69"/>
      <c r="M72" s="69"/>
      <c r="N72" s="70"/>
      <c r="O72" s="35" t="str">
        <f>IF(COUNT(L72:N72)&lt;1,"",IF(SUM(IF(L68&lt;L72,1,0),IF(M68&lt;M72,1,0),IF(N68&lt;N72,1,0))&gt;2,"??",SUM(IF(L68&lt;L72,1,0),IF(M68&lt;M72,1,0),IF(N68&lt;N72,1,0))))</f>
        <v/>
      </c>
      <c r="P72" s="376" t="str">
        <f>IF(P70="Disputa 9º/10º Jogador1","Disputa 11º/12º  Jogador1",IF(P70=I68,I72,I68))</f>
        <v>Disputa 11º/12º  Jogador1</v>
      </c>
      <c r="Q72" s="377"/>
      <c r="R72" s="378"/>
      <c r="S72" s="69"/>
      <c r="T72" s="69"/>
      <c r="U72" s="69"/>
      <c r="V72" s="49" t="str">
        <f>IF(COUNT(S72:U72)&lt;1,"",IF(SUM(IF(S72&gt;S76,1,0),IF(T72&gt;T76,1,0),IF(U72&gt;U76,1,0))&gt;2,"??",SUM(IF(S72&gt;S76,1,0),IF(T72&gt;T76,1,0),IF(U72&gt;U76,1,0))))</f>
        <v/>
      </c>
      <c r="W72" s="50"/>
      <c r="X72" s="48"/>
      <c r="Y72" s="53"/>
      <c r="Z72" s="53"/>
      <c r="AA72" s="53"/>
      <c r="AB72" s="53"/>
      <c r="AC72" s="53"/>
      <c r="AD72" s="54"/>
      <c r="AE72" s="113"/>
      <c r="AN72" s="176"/>
      <c r="AO72" s="285"/>
      <c r="AP72" s="379"/>
      <c r="AQ72" s="379"/>
      <c r="AR72" s="379"/>
      <c r="AS72" s="174"/>
      <c r="AT72" s="171"/>
      <c r="AU72" s="171"/>
      <c r="AV72" s="174"/>
      <c r="AW72" s="171"/>
      <c r="AX72" s="171"/>
      <c r="AY72" s="174"/>
    </row>
    <row r="73" spans="4:53" ht="12.75" customHeight="1">
      <c r="H73" s="126"/>
      <c r="I73" s="55"/>
      <c r="J73" s="40"/>
      <c r="K73" s="59"/>
      <c r="L73" s="46"/>
      <c r="M73" s="42"/>
      <c r="N73" s="42"/>
      <c r="O73" s="42"/>
      <c r="P73" s="55"/>
      <c r="Q73" s="51"/>
      <c r="R73" s="46"/>
      <c r="S73" s="46"/>
      <c r="T73" s="41"/>
      <c r="U73" s="41"/>
      <c r="V73" s="52"/>
      <c r="W73" s="50"/>
      <c r="X73" s="48"/>
      <c r="Y73" s="53"/>
      <c r="Z73" s="53"/>
      <c r="AA73" s="53"/>
      <c r="AB73" s="53"/>
      <c r="AC73" s="53"/>
      <c r="AD73" s="54"/>
      <c r="AE73" s="113"/>
      <c r="AN73" s="176"/>
      <c r="AO73" s="285"/>
      <c r="AP73" s="285"/>
      <c r="AQ73" s="172"/>
      <c r="AR73" s="173"/>
      <c r="AS73" s="174"/>
      <c r="AT73" s="171"/>
      <c r="AU73" s="171"/>
      <c r="AV73" s="174"/>
      <c r="AW73" s="171"/>
      <c r="AX73" s="171"/>
      <c r="AY73" s="174"/>
      <c r="AZ73" s="108"/>
      <c r="BA73" s="108"/>
    </row>
    <row r="74" spans="4:53" ht="15.75">
      <c r="H74" s="126"/>
      <c r="I74" s="55"/>
      <c r="J74" s="40"/>
      <c r="K74" s="59"/>
      <c r="L74" s="55"/>
      <c r="M74" s="42"/>
      <c r="N74" s="42"/>
      <c r="O74" s="42"/>
      <c r="P74" s="380" t="str">
        <f>IF(OR(V72="",V76="")=TRUE,"11º Classificado",IF(V72&gt;V76,P72,P76))</f>
        <v>11º Classificado</v>
      </c>
      <c r="Q74" s="380"/>
      <c r="R74" s="380"/>
      <c r="S74" s="380"/>
      <c r="T74" s="380"/>
      <c r="U74" s="380"/>
      <c r="V74" s="65">
        <v>39</v>
      </c>
      <c r="W74" s="66">
        <v>40</v>
      </c>
      <c r="X74" s="381" t="str">
        <f>IF(OR(W70="",W78="")=TRUE,"9º Classificado",IF(W70&gt;W78,P70,P78))</f>
        <v>9º Classificado</v>
      </c>
      <c r="Y74" s="382"/>
      <c r="Z74" s="382"/>
      <c r="AA74" s="382"/>
      <c r="AB74" s="382"/>
      <c r="AC74" s="382"/>
      <c r="AD74" s="54"/>
      <c r="AE74" s="113"/>
      <c r="AN74" s="176"/>
      <c r="AO74" s="285"/>
      <c r="AP74" s="285"/>
      <c r="AQ74" s="172"/>
      <c r="AR74" s="173"/>
      <c r="AS74" s="174"/>
      <c r="AT74" s="171"/>
      <c r="AU74" s="171"/>
      <c r="AV74" s="174"/>
      <c r="AW74" s="171"/>
      <c r="AX74" s="171"/>
      <c r="AY74" s="174"/>
      <c r="AZ74" s="108"/>
      <c r="BA74" s="108"/>
    </row>
    <row r="75" spans="4:53" ht="15">
      <c r="H75" s="126"/>
      <c r="I75" s="55"/>
      <c r="J75" s="40"/>
      <c r="K75" s="59"/>
      <c r="L75" s="55"/>
      <c r="M75" s="42"/>
      <c r="N75" s="42"/>
      <c r="O75" s="42"/>
      <c r="P75" s="55"/>
      <c r="Q75" s="40"/>
      <c r="R75" s="55"/>
      <c r="S75" s="55"/>
      <c r="T75" s="42"/>
      <c r="U75" s="42"/>
      <c r="V75" s="56"/>
      <c r="W75" s="50"/>
      <c r="X75" s="48"/>
      <c r="Y75" s="383"/>
      <c r="Z75" s="383"/>
      <c r="AA75" s="383"/>
      <c r="AB75" s="383"/>
      <c r="AC75" s="383"/>
      <c r="AD75" s="54"/>
      <c r="AE75" s="113"/>
      <c r="AN75" s="176"/>
      <c r="AO75" s="285"/>
      <c r="AP75" s="285"/>
      <c r="AQ75" s="172"/>
      <c r="AR75" s="173"/>
      <c r="AS75" s="174"/>
      <c r="AT75" s="171"/>
      <c r="AU75" s="171"/>
      <c r="AV75" s="174"/>
      <c r="AW75" s="171"/>
      <c r="AX75" s="171"/>
      <c r="AY75" s="174"/>
      <c r="AZ75" s="108"/>
      <c r="BA75" s="108"/>
    </row>
    <row r="76" spans="4:53" ht="15">
      <c r="H76" s="126"/>
      <c r="I76" s="369" t="str">
        <f>IF(R14="","3º  do Grupo C",R14)</f>
        <v>3º  do Grupo C</v>
      </c>
      <c r="J76" s="369"/>
      <c r="K76" s="370"/>
      <c r="L76" s="69"/>
      <c r="M76" s="69"/>
      <c r="N76" s="70"/>
      <c r="O76" s="38" t="str">
        <f>IF(COUNT(L76:N76)&lt;1,"",IF(SUM(IF(L76&gt;L80,1,0),IF(M76&gt;M80,1,0),IF(N76&gt;N80,1,0))&gt;2,"??",SUM(IF(L76&gt;L80,1,0),IF(M76&gt;M80,1,0),IF(N76&gt;N80,1,0))))</f>
        <v/>
      </c>
      <c r="P76" s="371" t="str">
        <f>IF(P78="Disputa 9º/10º Jogador2","Disputa 11º/12º  Jogador2",IF(P78=I76,I80,I76))</f>
        <v>Disputa 11º/12º  Jogador2</v>
      </c>
      <c r="Q76" s="372"/>
      <c r="R76" s="373"/>
      <c r="S76" s="69"/>
      <c r="T76" s="69"/>
      <c r="U76" s="69"/>
      <c r="V76" s="49" t="str">
        <f>IF(COUNT(S76:U76)&lt;1,"",IF(SUM(IF(S72&lt;S76,1,0),IF(T72&lt;T76,1,0),IF(U72&lt;U76,1,0))&gt;2,"??",SUM(IF(S72&lt;S76,1,0),IF(T72&lt;T76,1,0),IF(U72&lt;U76,1,0))))</f>
        <v/>
      </c>
      <c r="W76" s="50"/>
      <c r="X76" s="48"/>
      <c r="Y76" s="53"/>
      <c r="Z76" s="53"/>
      <c r="AA76" s="53"/>
      <c r="AB76" s="57"/>
      <c r="AC76" s="57"/>
      <c r="AD76" s="58"/>
      <c r="AE76" s="113"/>
      <c r="AN76" s="176"/>
      <c r="AO76" s="285"/>
      <c r="AP76" s="285"/>
      <c r="AQ76" s="172"/>
      <c r="AR76" s="173"/>
      <c r="AS76" s="174"/>
      <c r="AT76" s="171"/>
      <c r="AU76" s="171"/>
      <c r="AV76" s="174"/>
      <c r="AW76" s="171"/>
      <c r="AX76" s="171"/>
      <c r="AY76" s="174"/>
      <c r="AZ76" s="108"/>
      <c r="BA76" s="108"/>
    </row>
    <row r="77" spans="4:53">
      <c r="H77" s="126"/>
      <c r="I77" s="55"/>
      <c r="J77" s="40"/>
      <c r="K77" s="59"/>
      <c r="L77" s="55"/>
      <c r="M77" s="41"/>
      <c r="N77" s="41"/>
      <c r="O77" s="42"/>
      <c r="P77" s="36"/>
      <c r="Q77" s="51"/>
      <c r="R77" s="46"/>
      <c r="S77" s="55"/>
      <c r="T77" s="42"/>
      <c r="U77" s="42"/>
      <c r="V77" s="67"/>
      <c r="W77" s="50"/>
      <c r="X77" s="48"/>
      <c r="Y77" s="53"/>
      <c r="Z77" s="53"/>
      <c r="AA77" s="53"/>
      <c r="AB77" s="53"/>
      <c r="AC77" s="53"/>
      <c r="AD77" s="54"/>
      <c r="AE77" s="113"/>
    </row>
    <row r="78" spans="4:53" ht="15">
      <c r="H78" s="126"/>
      <c r="I78" s="55"/>
      <c r="J78" s="40"/>
      <c r="K78" s="59"/>
      <c r="L78" s="55"/>
      <c r="M78" s="42"/>
      <c r="N78" s="42"/>
      <c r="O78" s="64">
        <v>38</v>
      </c>
      <c r="P78" s="374" t="str">
        <f>IF(OR(O76="",O80="")=TRUE,"Disputa 9º/10º Jogador2",IF(O76&gt;O80,I76,I80))</f>
        <v>Disputa 9º/10º Jogador2</v>
      </c>
      <c r="Q78" s="369"/>
      <c r="R78" s="369"/>
      <c r="S78" s="370"/>
      <c r="T78" s="69"/>
      <c r="U78" s="69"/>
      <c r="V78" s="69"/>
      <c r="W78" s="45" t="str">
        <f>IF(COUNT(T78:V78)&lt;1,"",IF(SUM(IF(T70&lt;T78,1,0),IF(U70&lt;U78,1,0),IF(V70&lt;V78,1,0))&gt;2,"??",SUM(IF(T70&lt;T78,1,0),IF(U70&lt;U78,1,0),IF(V70&lt;V78,1,0))))</f>
        <v/>
      </c>
      <c r="X78" s="48"/>
      <c r="Y78" s="53"/>
      <c r="Z78" s="53"/>
      <c r="AA78" s="53"/>
      <c r="AB78" s="53"/>
      <c r="AC78" s="53"/>
      <c r="AD78" s="54"/>
      <c r="AE78" s="113"/>
    </row>
    <row r="79" spans="4:53" ht="15" customHeight="1">
      <c r="H79" s="126"/>
      <c r="I79" s="55"/>
      <c r="J79" s="40"/>
      <c r="K79" s="59"/>
      <c r="L79" s="55"/>
      <c r="M79" s="42"/>
      <c r="N79" s="42"/>
      <c r="O79" s="42"/>
      <c r="P79" s="36"/>
      <c r="Q79" s="40"/>
      <c r="R79" s="55"/>
      <c r="S79" s="46"/>
      <c r="T79" s="55"/>
      <c r="U79" s="55"/>
      <c r="V79" s="60"/>
      <c r="W79" s="53"/>
      <c r="X79" s="48"/>
      <c r="Y79" s="53"/>
      <c r="Z79" s="53"/>
      <c r="AA79" s="53"/>
      <c r="AB79" s="53"/>
      <c r="AC79" s="53"/>
      <c r="AD79" s="54"/>
      <c r="AE79" s="113"/>
    </row>
    <row r="80" spans="4:53" ht="15">
      <c r="H80" s="126"/>
      <c r="I80" s="369" t="str">
        <f>IF(Y14="","3º  do Grupo D",Y14)</f>
        <v>3º  do Grupo D</v>
      </c>
      <c r="J80" s="369"/>
      <c r="K80" s="370"/>
      <c r="L80" s="69"/>
      <c r="M80" s="69"/>
      <c r="N80" s="70"/>
      <c r="O80" s="35" t="str">
        <f>IF(COUNT(L80:N80)&lt;1,"",IF(SUM(IF(L76&lt;L80,1,0),IF(M76&lt;M80,1,0),IF(N76&lt;N80,1,0))&gt;2,"??",SUM(IF(L76&lt;L80,1,0),IF(M76&lt;M80,1,0),IF(N76&lt;N80,1,0))))</f>
        <v/>
      </c>
      <c r="P80" s="36"/>
      <c r="Q80" s="40"/>
      <c r="R80" s="55"/>
      <c r="S80" s="55"/>
      <c r="T80" s="55"/>
      <c r="U80" s="55"/>
      <c r="V80" s="55"/>
      <c r="W80" s="54"/>
      <c r="X80" s="68"/>
      <c r="Y80" s="54"/>
      <c r="Z80" s="54"/>
      <c r="AA80" s="54"/>
      <c r="AB80" s="54"/>
      <c r="AC80" s="54"/>
      <c r="AD80" s="54"/>
      <c r="AE80" s="113"/>
    </row>
    <row r="81" spans="4:53">
      <c r="H81" s="128"/>
      <c r="I81" s="168"/>
      <c r="J81" s="169"/>
      <c r="K81" s="168"/>
      <c r="L81" s="170"/>
      <c r="M81" s="168"/>
      <c r="N81" s="168"/>
      <c r="O81" s="168"/>
      <c r="P81" s="168"/>
      <c r="Q81" s="169"/>
      <c r="R81" s="168"/>
      <c r="S81" s="168"/>
      <c r="T81" s="168"/>
      <c r="U81" s="168"/>
      <c r="V81" s="168"/>
      <c r="W81" s="122"/>
      <c r="X81" s="123"/>
      <c r="Y81" s="122"/>
      <c r="Z81" s="122"/>
      <c r="AA81" s="122"/>
      <c r="AB81" s="122"/>
      <c r="AC81" s="122"/>
      <c r="AD81" s="122"/>
      <c r="AE81" s="124"/>
    </row>
    <row r="82" spans="4:53" ht="6" customHeight="1">
      <c r="H82" s="54"/>
    </row>
    <row r="83" spans="4:53" ht="13.5" thickBot="1">
      <c r="D83" s="54"/>
      <c r="H83" s="125"/>
      <c r="I83" s="61"/>
      <c r="J83" s="167"/>
      <c r="K83" s="61"/>
      <c r="L83" s="61"/>
      <c r="M83" s="61"/>
      <c r="N83" s="61"/>
      <c r="O83" s="61"/>
      <c r="P83" s="61"/>
      <c r="Q83" s="167"/>
      <c r="R83" s="61"/>
      <c r="S83" s="61"/>
      <c r="T83" s="61"/>
      <c r="U83" s="61"/>
      <c r="V83" s="61"/>
      <c r="W83" s="61"/>
      <c r="X83" s="167"/>
      <c r="Y83" s="61"/>
      <c r="Z83" s="61"/>
      <c r="AA83" s="61"/>
      <c r="AB83" s="61"/>
      <c r="AC83" s="61"/>
      <c r="AD83" s="61"/>
      <c r="AE83" s="3"/>
      <c r="AN83" s="176"/>
      <c r="AO83" s="285"/>
      <c r="AP83" s="379"/>
      <c r="AQ83" s="379"/>
      <c r="AR83" s="379"/>
      <c r="AS83" s="174"/>
      <c r="AT83" s="171"/>
      <c r="AU83" s="171"/>
      <c r="AV83" s="174"/>
      <c r="AW83" s="171"/>
      <c r="AX83" s="171"/>
      <c r="AY83" s="174"/>
    </row>
    <row r="84" spans="4:53">
      <c r="D84" s="54"/>
      <c r="H84" s="126"/>
      <c r="I84" s="388" t="s">
        <v>241</v>
      </c>
      <c r="J84" s="388"/>
      <c r="K84" s="388"/>
      <c r="L84" s="388"/>
      <c r="M84" s="388"/>
      <c r="N84" s="388"/>
      <c r="O84" s="388"/>
      <c r="P84" s="388"/>
      <c r="Q84" s="388"/>
      <c r="R84" s="388"/>
      <c r="S84" s="388"/>
      <c r="T84" s="388"/>
      <c r="U84" s="388"/>
      <c r="V84" s="388"/>
      <c r="W84" s="388"/>
      <c r="X84" s="68"/>
      <c r="Y84" s="389" t="s">
        <v>0</v>
      </c>
      <c r="Z84" s="390"/>
      <c r="AA84" s="390"/>
      <c r="AB84" s="390"/>
      <c r="AC84" s="390"/>
      <c r="AD84" s="391"/>
      <c r="AE84" s="113"/>
      <c r="AN84" s="176"/>
      <c r="AO84" s="285"/>
      <c r="AP84" s="379"/>
      <c r="AQ84" s="379"/>
      <c r="AR84" s="379"/>
      <c r="AS84" s="174"/>
      <c r="AT84" s="171"/>
      <c r="AU84" s="171"/>
      <c r="AV84" s="174"/>
      <c r="AW84" s="171"/>
      <c r="AX84" s="171"/>
      <c r="AY84" s="174"/>
    </row>
    <row r="85" spans="4:53" ht="13.5" thickBot="1">
      <c r="D85" s="54"/>
      <c r="H85" s="126"/>
      <c r="I85" s="388"/>
      <c r="J85" s="388"/>
      <c r="K85" s="388"/>
      <c r="L85" s="388"/>
      <c r="M85" s="388"/>
      <c r="N85" s="388"/>
      <c r="O85" s="388"/>
      <c r="P85" s="388"/>
      <c r="Q85" s="388"/>
      <c r="R85" s="388"/>
      <c r="S85" s="388"/>
      <c r="T85" s="388"/>
      <c r="U85" s="388"/>
      <c r="V85" s="388"/>
      <c r="W85" s="388"/>
      <c r="X85" s="68"/>
      <c r="Y85" s="392"/>
      <c r="Z85" s="393"/>
      <c r="AA85" s="393"/>
      <c r="AB85" s="393"/>
      <c r="AC85" s="393"/>
      <c r="AD85" s="394"/>
      <c r="AE85" s="113"/>
      <c r="AN85" s="176"/>
      <c r="AO85" s="285"/>
      <c r="AP85" s="379"/>
      <c r="AQ85" s="379"/>
      <c r="AR85" s="379"/>
      <c r="AS85" s="174"/>
      <c r="AT85" s="171"/>
      <c r="AU85" s="171"/>
      <c r="AV85" s="174"/>
      <c r="AW85" s="171"/>
      <c r="AX85" s="171"/>
      <c r="AY85" s="174"/>
    </row>
    <row r="86" spans="4:53" ht="15.75">
      <c r="H86" s="126"/>
      <c r="I86" s="369" t="str">
        <f>IF(D15="","4º  do Grupo A",D15)</f>
        <v>4º  do Grupo A</v>
      </c>
      <c r="J86" s="369"/>
      <c r="K86" s="370"/>
      <c r="L86" s="69"/>
      <c r="M86" s="69"/>
      <c r="N86" s="70"/>
      <c r="O86" s="38" t="str">
        <f>IF(COUNT(L86:N86)&lt;1,"",IF(SUM(IF(L86&gt;L90,1,0),IF(M86&gt;M90,1,0),IF(N86&gt;N90,1,0))&gt;2,"??",SUM(IF(L86&gt;L90,1,0),IF(M86&gt;M90,1,0),IF(N86&gt;N90,1,0))))</f>
        <v/>
      </c>
      <c r="P86" s="55"/>
      <c r="Q86" s="40"/>
      <c r="R86" s="55"/>
      <c r="S86" s="55"/>
      <c r="T86" s="55"/>
      <c r="U86" s="55"/>
      <c r="V86" s="55"/>
      <c r="W86" s="54"/>
      <c r="X86" s="68"/>
      <c r="Y86" s="395" t="str">
        <f>IF(X92="13º Classificado","",X92)</f>
        <v/>
      </c>
      <c r="Z86" s="396"/>
      <c r="AA86" s="396"/>
      <c r="AB86" s="396"/>
      <c r="AC86" s="396"/>
      <c r="AD86" s="39" t="s">
        <v>242</v>
      </c>
      <c r="AE86" s="113"/>
      <c r="AN86" s="176"/>
      <c r="AO86" s="285"/>
      <c r="AP86" s="379"/>
      <c r="AQ86" s="379"/>
      <c r="AR86" s="379"/>
      <c r="AS86" s="174"/>
      <c r="AT86" s="171"/>
      <c r="AU86" s="171"/>
      <c r="AV86" s="174"/>
      <c r="AW86" s="171"/>
      <c r="AX86" s="171"/>
      <c r="AY86" s="174"/>
    </row>
    <row r="87" spans="4:53" ht="15" customHeight="1">
      <c r="H87" s="126"/>
      <c r="I87" s="55"/>
      <c r="J87" s="40"/>
      <c r="K87" s="59"/>
      <c r="L87" s="55"/>
      <c r="M87" s="41"/>
      <c r="N87" s="41"/>
      <c r="O87" s="42"/>
      <c r="P87" s="36"/>
      <c r="Q87" s="40"/>
      <c r="R87" s="55"/>
      <c r="S87" s="55"/>
      <c r="T87" s="55"/>
      <c r="U87" s="55"/>
      <c r="V87" s="60"/>
      <c r="W87" s="53"/>
      <c r="X87" s="48"/>
      <c r="Y87" s="384" t="str">
        <f>IF(Y86="","",IF(Y86=P88,P96,P88))</f>
        <v/>
      </c>
      <c r="Z87" s="385" t="e">
        <f>IF(#REF!="","",IF(#REF!=W87,"","(2º) "))</f>
        <v>#REF!</v>
      </c>
      <c r="AA87" s="385" t="e">
        <f>IF(#REF!="","",IF(#REF!=X87,"","(2º) "))</f>
        <v>#REF!</v>
      </c>
      <c r="AB87" s="385" t="e">
        <f>IF(#REF!="","",IF(#REF!=Y87,"","(2º) "))</f>
        <v>#REF!</v>
      </c>
      <c r="AC87" s="385" t="e">
        <f>IF(#REF!="","",IF(#REF!=Z87,"","(2º) "))</f>
        <v>#REF!</v>
      </c>
      <c r="AD87" s="43" t="s">
        <v>243</v>
      </c>
      <c r="AE87" s="113"/>
      <c r="AN87" s="176"/>
      <c r="AO87" s="285"/>
      <c r="AP87" s="379"/>
      <c r="AQ87" s="379"/>
      <c r="AR87" s="379"/>
      <c r="AS87" s="174"/>
      <c r="AT87" s="171"/>
      <c r="AU87" s="171"/>
      <c r="AV87" s="174"/>
      <c r="AW87" s="171"/>
      <c r="AX87" s="171"/>
      <c r="AY87" s="174"/>
    </row>
    <row r="88" spans="4:53" ht="15" customHeight="1">
      <c r="H88" s="126"/>
      <c r="I88" s="55"/>
      <c r="J88" s="40"/>
      <c r="K88" s="59"/>
      <c r="L88" s="55"/>
      <c r="M88" s="42"/>
      <c r="N88" s="42"/>
      <c r="O88" s="64">
        <v>41</v>
      </c>
      <c r="P88" s="374" t="str">
        <f>IF(OR(O86="",O90="")=TRUE,"Disputa 13º/14º Jogador1",IF(O86&gt;O90,I86,I90))</f>
        <v>Disputa 13º/14º Jogador1</v>
      </c>
      <c r="Q88" s="369"/>
      <c r="R88" s="369"/>
      <c r="S88" s="370"/>
      <c r="T88" s="69"/>
      <c r="U88" s="69"/>
      <c r="V88" s="69"/>
      <c r="W88" s="45" t="str">
        <f>IF(COUNT(T88:V88)&lt;1,"",IF(SUM(IF(T88&gt;T96,1,0),IF(U88&gt;U96,1,0),IF(V88&gt;V96,1,0))&gt;2,"??",SUM(IF(T88&gt;T96,1,0),IF(U88&gt;U96,1,0),IF(V88&gt;V96,1,0))))</f>
        <v/>
      </c>
      <c r="X88" s="48"/>
      <c r="Y88" s="384" t="str">
        <f>IF(P92="15º Classificado","",P92)</f>
        <v/>
      </c>
      <c r="Z88" s="385"/>
      <c r="AA88" s="385"/>
      <c r="AB88" s="385"/>
      <c r="AC88" s="385"/>
      <c r="AD88" s="43" t="s">
        <v>244</v>
      </c>
      <c r="AE88" s="113"/>
      <c r="AN88" s="176"/>
      <c r="AO88" s="285"/>
      <c r="AP88" s="379"/>
      <c r="AQ88" s="379"/>
      <c r="AR88" s="379"/>
      <c r="AS88" s="174"/>
      <c r="AT88" s="171"/>
      <c r="AU88" s="171"/>
      <c r="AV88" s="174"/>
      <c r="AW88" s="171"/>
      <c r="AX88" s="171"/>
      <c r="AY88" s="174"/>
    </row>
    <row r="89" spans="4:53" ht="15.75" thickBot="1">
      <c r="H89" s="126"/>
      <c r="I89" s="55"/>
      <c r="J89" s="40"/>
      <c r="K89" s="59"/>
      <c r="L89" s="55"/>
      <c r="M89" s="42"/>
      <c r="N89" s="42"/>
      <c r="O89" s="42"/>
      <c r="P89" s="36"/>
      <c r="Q89" s="40"/>
      <c r="R89" s="55"/>
      <c r="S89" s="46"/>
      <c r="T89" s="42"/>
      <c r="U89" s="42"/>
      <c r="V89" s="67"/>
      <c r="W89" s="47"/>
      <c r="X89" s="48"/>
      <c r="Y89" s="386" t="str">
        <f>IF(Y88="","",IF(Y88=P90,P94,P90))</f>
        <v/>
      </c>
      <c r="Z89" s="387"/>
      <c r="AA89" s="387"/>
      <c r="AB89" s="387"/>
      <c r="AC89" s="387"/>
      <c r="AD89" s="164" t="s">
        <v>245</v>
      </c>
      <c r="AE89" s="113"/>
      <c r="AN89" s="176"/>
      <c r="AO89" s="285"/>
      <c r="AP89" s="379"/>
      <c r="AQ89" s="379"/>
      <c r="AR89" s="379"/>
      <c r="AS89" s="174"/>
      <c r="AT89" s="171"/>
      <c r="AU89" s="171"/>
      <c r="AV89" s="174"/>
      <c r="AW89" s="171"/>
      <c r="AX89" s="171"/>
      <c r="AY89" s="174"/>
    </row>
    <row r="90" spans="4:53" ht="15">
      <c r="H90" s="126"/>
      <c r="I90" s="369" t="str">
        <f>IF(K15="","4º  do Grupo B",K15)</f>
        <v>4º  do Grupo B</v>
      </c>
      <c r="J90" s="369"/>
      <c r="K90" s="370"/>
      <c r="L90" s="69"/>
      <c r="M90" s="69"/>
      <c r="N90" s="70"/>
      <c r="O90" s="35" t="str">
        <f>IF(COUNT(L90:N90)&lt;1,"",IF(SUM(IF(L86&lt;L90,1,0),IF(M86&lt;M90,1,0),IF(N86&lt;N90,1,0))&gt;2,"??",SUM(IF(L86&lt;L90,1,0),IF(M86&lt;M90,1,0),IF(N86&lt;N90,1,0))))</f>
        <v/>
      </c>
      <c r="P90" s="376" t="str">
        <f>IF(P88="Disputa 13º/14º Jogador1","Disputa 15º/16º  Jogador1",IF(P88=I86,I90,I86))</f>
        <v>Disputa 15º/16º  Jogador1</v>
      </c>
      <c r="Q90" s="377"/>
      <c r="R90" s="378"/>
      <c r="S90" s="69"/>
      <c r="T90" s="69"/>
      <c r="U90" s="69"/>
      <c r="V90" s="49" t="str">
        <f>IF(COUNT(S90:U90)&lt;1,"",IF(SUM(IF(S90&gt;S94,1,0),IF(T90&gt;T94,1,0),IF(U90&gt;U94,1,0))&gt;2,"??",SUM(IF(S90&gt;S94,1,0),IF(T90&gt;T94,1,0),IF(U90&gt;U94,1,0))))</f>
        <v/>
      </c>
      <c r="W90" s="50"/>
      <c r="X90" s="48"/>
      <c r="Y90" s="53"/>
      <c r="Z90" s="53"/>
      <c r="AA90" s="53"/>
      <c r="AB90" s="53"/>
      <c r="AC90" s="53"/>
      <c r="AD90" s="54"/>
      <c r="AE90" s="113"/>
      <c r="AN90" s="176"/>
      <c r="AO90" s="285"/>
      <c r="AP90" s="379"/>
      <c r="AQ90" s="379"/>
      <c r="AR90" s="379"/>
      <c r="AS90" s="174"/>
      <c r="AT90" s="171"/>
      <c r="AU90" s="171"/>
      <c r="AV90" s="174"/>
      <c r="AW90" s="171"/>
      <c r="AX90" s="171"/>
      <c r="AY90" s="174"/>
    </row>
    <row r="91" spans="4:53" ht="12.75" customHeight="1">
      <c r="H91" s="126"/>
      <c r="I91" s="55"/>
      <c r="J91" s="40"/>
      <c r="K91" s="59"/>
      <c r="L91" s="46"/>
      <c r="M91" s="42"/>
      <c r="N91" s="42"/>
      <c r="O91" s="42"/>
      <c r="P91" s="55"/>
      <c r="Q91" s="51"/>
      <c r="R91" s="46"/>
      <c r="S91" s="46"/>
      <c r="T91" s="41"/>
      <c r="U91" s="41"/>
      <c r="V91" s="52"/>
      <c r="W91" s="50"/>
      <c r="X91" s="48"/>
      <c r="Y91" s="53"/>
      <c r="Z91" s="53"/>
      <c r="AA91" s="53"/>
      <c r="AB91" s="53"/>
      <c r="AC91" s="53"/>
      <c r="AD91" s="54"/>
      <c r="AE91" s="113"/>
      <c r="AN91" s="176"/>
      <c r="AO91" s="285"/>
      <c r="AP91" s="285"/>
      <c r="AQ91" s="172"/>
      <c r="AR91" s="173"/>
      <c r="AS91" s="174"/>
      <c r="AT91" s="171"/>
      <c r="AU91" s="171"/>
      <c r="AV91" s="174"/>
      <c r="AW91" s="171"/>
      <c r="AX91" s="171"/>
      <c r="AY91" s="174"/>
      <c r="AZ91" s="108"/>
      <c r="BA91" s="108"/>
    </row>
    <row r="92" spans="4:53" ht="15.75">
      <c r="H92" s="126"/>
      <c r="I92" s="55"/>
      <c r="J92" s="40"/>
      <c r="K92" s="59"/>
      <c r="L92" s="55"/>
      <c r="M92" s="42"/>
      <c r="N92" s="42"/>
      <c r="O92" s="42"/>
      <c r="P92" s="380" t="str">
        <f>IF(OR(V90="",V94="")=TRUE,"15º Classificado",IF(V90&gt;V94,P90,P94))</f>
        <v>15º Classificado</v>
      </c>
      <c r="Q92" s="380"/>
      <c r="R92" s="380"/>
      <c r="S92" s="380"/>
      <c r="T92" s="380"/>
      <c r="U92" s="380"/>
      <c r="V92" s="65">
        <v>43</v>
      </c>
      <c r="W92" s="66">
        <v>44</v>
      </c>
      <c r="X92" s="381" t="str">
        <f>IF(OR(W88="",W96="")=TRUE,"13º Classificado",IF(W88&gt;W96,P88,P96))</f>
        <v>13º Classificado</v>
      </c>
      <c r="Y92" s="382"/>
      <c r="Z92" s="382"/>
      <c r="AA92" s="382"/>
      <c r="AB92" s="382"/>
      <c r="AC92" s="382"/>
      <c r="AD92" s="54"/>
      <c r="AE92" s="113"/>
      <c r="AN92" s="176"/>
      <c r="AO92" s="285"/>
      <c r="AP92" s="285"/>
      <c r="AQ92" s="172"/>
      <c r="AR92" s="173"/>
      <c r="AS92" s="174"/>
      <c r="AT92" s="171"/>
      <c r="AU92" s="171"/>
      <c r="AV92" s="174"/>
      <c r="AW92" s="171"/>
      <c r="AX92" s="171"/>
      <c r="AY92" s="174"/>
      <c r="AZ92" s="108"/>
      <c r="BA92" s="108"/>
    </row>
    <row r="93" spans="4:53" ht="15">
      <c r="H93" s="126"/>
      <c r="I93" s="55"/>
      <c r="J93" s="40"/>
      <c r="K93" s="59"/>
      <c r="L93" s="55"/>
      <c r="M93" s="42"/>
      <c r="N93" s="42"/>
      <c r="O93" s="42"/>
      <c r="P93" s="55"/>
      <c r="Q93" s="40"/>
      <c r="R93" s="55"/>
      <c r="S93" s="55"/>
      <c r="T93" s="42"/>
      <c r="U93" s="42"/>
      <c r="V93" s="56"/>
      <c r="W93" s="50"/>
      <c r="X93" s="48"/>
      <c r="Y93" s="383"/>
      <c r="Z93" s="383"/>
      <c r="AA93" s="383"/>
      <c r="AB93" s="383"/>
      <c r="AC93" s="383"/>
      <c r="AD93" s="54"/>
      <c r="AE93" s="113"/>
      <c r="AN93" s="176"/>
      <c r="AO93" s="285"/>
      <c r="AP93" s="285"/>
      <c r="AQ93" s="172"/>
      <c r="AR93" s="173"/>
      <c r="AS93" s="174"/>
      <c r="AT93" s="171"/>
      <c r="AU93" s="171"/>
      <c r="AV93" s="174"/>
      <c r="AW93" s="171"/>
      <c r="AX93" s="171"/>
      <c r="AY93" s="174"/>
      <c r="AZ93" s="108"/>
      <c r="BA93" s="108"/>
    </row>
    <row r="94" spans="4:53" ht="15">
      <c r="H94" s="126"/>
      <c r="I94" s="369" t="str">
        <f>IF(R15="","4º  do Grupo C",R15)</f>
        <v>4º  do Grupo C</v>
      </c>
      <c r="J94" s="369"/>
      <c r="K94" s="370"/>
      <c r="L94" s="69"/>
      <c r="M94" s="69"/>
      <c r="N94" s="70"/>
      <c r="O94" s="38" t="str">
        <f>IF(COUNT(L94:N94)&lt;1,"",IF(SUM(IF(L94&gt;L98,1,0),IF(M94&gt;M98,1,0),IF(N94&gt;N98,1,0))&gt;2,"??",SUM(IF(L94&gt;L98,1,0),IF(M94&gt;M98,1,0),IF(N94&gt;N98,1,0))))</f>
        <v/>
      </c>
      <c r="P94" s="371" t="str">
        <f>IF(P96="Disputa 13º/14º Jogador2","Disputa 15º/16º  Jogador2",IF(P96=I94,I98,I94))</f>
        <v>Disputa 15º/16º  Jogador2</v>
      </c>
      <c r="Q94" s="372"/>
      <c r="R94" s="373"/>
      <c r="S94" s="69"/>
      <c r="T94" s="69"/>
      <c r="U94" s="69"/>
      <c r="V94" s="49" t="str">
        <f>IF(COUNT(S94:U94)&lt;1,"",IF(SUM(IF(S90&lt;S94,1,0),IF(T90&lt;T94,1,0),IF(U90&lt;U94,1,0))&gt;2,"??",SUM(IF(S90&lt;S94,1,0),IF(T90&lt;T94,1,0),IF(U90&lt;U94,1,0))))</f>
        <v/>
      </c>
      <c r="W94" s="50"/>
      <c r="X94" s="48"/>
      <c r="Y94" s="53"/>
      <c r="Z94" s="53"/>
      <c r="AA94" s="53"/>
      <c r="AB94" s="57"/>
      <c r="AC94" s="57"/>
      <c r="AD94" s="58"/>
      <c r="AE94" s="113"/>
      <c r="AN94" s="176"/>
      <c r="AO94" s="285"/>
      <c r="AP94" s="285"/>
      <c r="AQ94" s="172"/>
      <c r="AR94" s="173"/>
      <c r="AS94" s="174"/>
      <c r="AT94" s="171"/>
      <c r="AU94" s="171"/>
      <c r="AV94" s="174"/>
      <c r="AW94" s="171"/>
      <c r="AX94" s="171"/>
      <c r="AY94" s="174"/>
      <c r="AZ94" s="108"/>
      <c r="BA94" s="108"/>
    </row>
    <row r="95" spans="4:53">
      <c r="H95" s="126"/>
      <c r="I95" s="55"/>
      <c r="J95" s="40"/>
      <c r="K95" s="59"/>
      <c r="L95" s="55"/>
      <c r="M95" s="41"/>
      <c r="N95" s="41"/>
      <c r="O95" s="42"/>
      <c r="P95" s="36"/>
      <c r="Q95" s="51"/>
      <c r="R95" s="46"/>
      <c r="S95" s="55"/>
      <c r="T95" s="42"/>
      <c r="U95" s="42"/>
      <c r="V95" s="67"/>
      <c r="W95" s="50"/>
      <c r="X95" s="48"/>
      <c r="Y95" s="53"/>
      <c r="Z95" s="53"/>
      <c r="AA95" s="53"/>
      <c r="AB95" s="53"/>
      <c r="AC95" s="53"/>
      <c r="AD95" s="54"/>
      <c r="AE95" s="113"/>
    </row>
    <row r="96" spans="4:53" ht="15">
      <c r="H96" s="126"/>
      <c r="I96" s="55"/>
      <c r="J96" s="40"/>
      <c r="K96" s="59"/>
      <c r="L96" s="55"/>
      <c r="M96" s="42"/>
      <c r="N96" s="42"/>
      <c r="O96" s="64">
        <v>42</v>
      </c>
      <c r="P96" s="374" t="str">
        <f>IF(OR(O94="",O98="")=TRUE,"Disputa 13º/14º Jogador2",IF(O94&gt;O98,I94,I98))</f>
        <v>Disputa 13º/14º Jogador2</v>
      </c>
      <c r="Q96" s="369"/>
      <c r="R96" s="369"/>
      <c r="S96" s="370"/>
      <c r="T96" s="69"/>
      <c r="U96" s="69"/>
      <c r="V96" s="69"/>
      <c r="W96" s="45" t="str">
        <f>IF(COUNT(T96:V96)&lt;1,"",IF(SUM(IF(T88&lt;T96,1,0),IF(U88&lt;U96,1,0),IF(V88&lt;V96,1,0))&gt;2,"??",SUM(IF(T88&lt;T96,1,0),IF(U88&lt;U96,1,0),IF(V88&lt;V96,1,0))))</f>
        <v/>
      </c>
      <c r="X96" s="48"/>
      <c r="Y96" s="53"/>
      <c r="Z96" s="53"/>
      <c r="AA96" s="53"/>
      <c r="AB96" s="53"/>
      <c r="AC96" s="53"/>
      <c r="AD96" s="54"/>
      <c r="AE96" s="113"/>
    </row>
    <row r="97" spans="8:93" ht="15" customHeight="1">
      <c r="H97" s="126"/>
      <c r="I97" s="55"/>
      <c r="J97" s="40"/>
      <c r="K97" s="59"/>
      <c r="L97" s="55"/>
      <c r="M97" s="42"/>
      <c r="N97" s="42"/>
      <c r="O97" s="42"/>
      <c r="P97" s="36"/>
      <c r="Q97" s="40"/>
      <c r="R97" s="55"/>
      <c r="S97" s="46"/>
      <c r="T97" s="55"/>
      <c r="U97" s="55"/>
      <c r="V97" s="60"/>
      <c r="W97" s="53"/>
      <c r="X97" s="48"/>
      <c r="Y97" s="53"/>
      <c r="Z97" s="53"/>
      <c r="AA97" s="53"/>
      <c r="AB97" s="53"/>
      <c r="AC97" s="53"/>
      <c r="AD97" s="54"/>
      <c r="AE97" s="113"/>
    </row>
    <row r="98" spans="8:93" ht="15">
      <c r="H98" s="126"/>
      <c r="I98" s="369" t="str">
        <f>IF(Y15="","4º  do Grupo D",Y15)</f>
        <v>4º  do Grupo D</v>
      </c>
      <c r="J98" s="369"/>
      <c r="K98" s="370"/>
      <c r="L98" s="69"/>
      <c r="M98" s="69"/>
      <c r="N98" s="70"/>
      <c r="O98" s="35" t="str">
        <f>IF(COUNT(L98:N98)&lt;1,"",IF(SUM(IF(L94&lt;L98,1,0),IF(M94&lt;M98,1,0),IF(N94&lt;N98,1,0))&gt;2,"??",SUM(IF(L94&lt;L98,1,0),IF(M94&lt;M98,1,0),IF(N94&lt;N98,1,0))))</f>
        <v/>
      </c>
      <c r="P98" s="36"/>
      <c r="Q98" s="40"/>
      <c r="R98" s="55"/>
      <c r="S98" s="55"/>
      <c r="T98" s="55"/>
      <c r="U98" s="55"/>
      <c r="V98" s="55"/>
      <c r="W98" s="54"/>
      <c r="X98" s="68"/>
      <c r="Y98" s="54"/>
      <c r="Z98" s="54"/>
      <c r="AA98" s="54"/>
      <c r="AB98" s="54"/>
      <c r="AC98" s="54"/>
      <c r="AD98" s="54"/>
      <c r="AE98" s="113"/>
    </row>
    <row r="99" spans="8:93">
      <c r="H99" s="128"/>
      <c r="I99" s="168"/>
      <c r="J99" s="169"/>
      <c r="K99" s="168"/>
      <c r="L99" s="170"/>
      <c r="M99" s="168"/>
      <c r="N99" s="168"/>
      <c r="O99" s="168"/>
      <c r="P99" s="168"/>
      <c r="Q99" s="169"/>
      <c r="R99" s="168"/>
      <c r="S99" s="168"/>
      <c r="T99" s="168"/>
      <c r="U99" s="168"/>
      <c r="V99" s="168"/>
      <c r="W99" s="122"/>
      <c r="X99" s="123"/>
      <c r="Y99" s="122"/>
      <c r="Z99" s="122"/>
      <c r="AA99" s="122"/>
      <c r="AB99" s="122"/>
      <c r="AC99" s="122"/>
      <c r="AD99" s="122"/>
      <c r="AE99" s="124"/>
    </row>
    <row r="100" spans="8:93" ht="48.75" customHeight="1" thickBot="1">
      <c r="AZ100" s="375"/>
      <c r="BA100" s="375"/>
      <c r="BB100" s="375"/>
      <c r="BC100" s="375"/>
      <c r="BD100" s="375"/>
      <c r="BE100" s="375"/>
      <c r="BF100" s="375"/>
      <c r="BG100" s="375"/>
      <c r="BH100" s="375"/>
      <c r="BI100" s="375"/>
      <c r="BJ100" s="375"/>
      <c r="BK100" s="375"/>
      <c r="BL100" s="375"/>
      <c r="BM100" s="375"/>
      <c r="BN100" s="375"/>
      <c r="BO100" s="375"/>
      <c r="BP100" s="375"/>
      <c r="BQ100" s="375"/>
      <c r="BR100" s="375"/>
      <c r="BS100" s="375"/>
      <c r="BT100" s="375"/>
      <c r="BU100" s="375"/>
      <c r="BV100" s="375"/>
      <c r="BW100" s="375"/>
      <c r="BX100" s="375"/>
      <c r="BY100" s="375"/>
      <c r="BZ100" s="375"/>
      <c r="CA100" s="375"/>
      <c r="CB100" s="375"/>
      <c r="CC100" s="375"/>
      <c r="CD100" s="375"/>
      <c r="CE100" s="375"/>
      <c r="CF100" s="375"/>
      <c r="CG100" s="375"/>
    </row>
    <row r="101" spans="8:93" ht="38.25" customHeight="1" thickBot="1">
      <c r="AZ101" s="87"/>
      <c r="BA101" s="367" t="str">
        <f>IF(BB102="","",CONCATENATE(VLOOKUP(BB102,$CI$102:$CO$145,2,FALSE),"  -  ",VLOOKUP(BB102,$CI$102:$CO$145,3,FALSE),,"  -  ",VLOOKUP(BB102,$CI$102:$CO$145,4,FALSE),"  -  ",VLOOKUP(BB102,$CI$102:$CO$145,5,FALSE)))</f>
        <v>Iniciados  -  Pares  -  Masculinos  -  Grupo A</v>
      </c>
      <c r="BB101" s="367"/>
      <c r="BC101" s="367"/>
      <c r="BD101" s="367"/>
      <c r="BE101" s="367"/>
      <c r="BF101" s="367"/>
      <c r="BG101" s="367"/>
      <c r="BH101" s="367"/>
      <c r="BI101" s="367"/>
      <c r="BJ101" s="367"/>
      <c r="BK101" s="367"/>
      <c r="BL101" s="367"/>
      <c r="BM101" s="367"/>
      <c r="BN101" s="86"/>
      <c r="BO101" s="86"/>
      <c r="BP101" s="86"/>
      <c r="BQ101" s="86"/>
      <c r="BR101" s="86"/>
      <c r="BS101" s="86"/>
      <c r="BT101" s="86"/>
      <c r="BU101" s="86"/>
      <c r="BV101" s="86"/>
      <c r="BW101" s="86"/>
      <c r="BX101" s="86"/>
      <c r="BY101" s="86"/>
      <c r="BZ101" s="86"/>
      <c r="CA101" s="86"/>
      <c r="CB101" s="86"/>
      <c r="CC101" s="86"/>
      <c r="CD101" s="86"/>
      <c r="CE101" s="86"/>
      <c r="CF101" s="86"/>
      <c r="CG101" s="76"/>
      <c r="CI101" s="132" t="s">
        <v>26</v>
      </c>
      <c r="CJ101" s="132" t="s">
        <v>27</v>
      </c>
      <c r="CK101" s="132" t="s">
        <v>29</v>
      </c>
      <c r="CL101" s="132" t="s">
        <v>28</v>
      </c>
      <c r="CM101" s="132" t="s">
        <v>42</v>
      </c>
      <c r="CN101" s="132" t="s">
        <v>32</v>
      </c>
      <c r="CO101" s="132" t="s">
        <v>33</v>
      </c>
    </row>
    <row r="102" spans="8:93" ht="20.25" customHeight="1">
      <c r="AZ102" s="88"/>
      <c r="BA102" s="89" t="s">
        <v>25</v>
      </c>
      <c r="BB102" s="137">
        <f>IF($AG$27="","",$AG$27)</f>
        <v>1</v>
      </c>
      <c r="BC102" s="84"/>
      <c r="BD102" s="84"/>
      <c r="BE102" s="84"/>
      <c r="BF102" s="84"/>
      <c r="BG102" s="84"/>
      <c r="BH102" s="84"/>
      <c r="BI102" s="177" t="s">
        <v>51</v>
      </c>
      <c r="BJ102" s="84"/>
      <c r="BK102" s="84"/>
      <c r="BL102" s="294"/>
      <c r="BM102" s="295"/>
      <c r="BN102" s="90"/>
      <c r="BO102" s="90"/>
      <c r="BP102" s="90"/>
      <c r="BQ102" s="91"/>
      <c r="BR102" s="84"/>
      <c r="BS102" s="84"/>
      <c r="BT102" s="84"/>
      <c r="BU102" s="84"/>
      <c r="BV102" s="84"/>
      <c r="BW102" s="84"/>
      <c r="BX102" s="84"/>
      <c r="BY102" s="84"/>
      <c r="BZ102" s="84"/>
      <c r="CA102" s="84"/>
      <c r="CB102" s="84"/>
      <c r="CC102" s="84"/>
      <c r="CD102" s="84"/>
      <c r="CE102" s="84"/>
      <c r="CF102" s="84"/>
      <c r="CG102" s="92"/>
      <c r="CI102" s="133">
        <f>$C$16</f>
        <v>1</v>
      </c>
      <c r="CJ102" s="134" t="str">
        <f t="shared" ref="CJ102:CJ145" si="0">$H$2</f>
        <v>Iniciados</v>
      </c>
      <c r="CK102" s="134" t="str">
        <f t="shared" ref="CK102:CK145" si="1">$H$3</f>
        <v>Pares</v>
      </c>
      <c r="CL102" s="134" t="str">
        <f t="shared" ref="CL102:CL145" si="2">$Q$3</f>
        <v>Masculinos</v>
      </c>
      <c r="CM102" s="134" t="str">
        <f>$C$5</f>
        <v>Grupo A</v>
      </c>
      <c r="CN102" s="134" t="str">
        <f>$D$16</f>
        <v>Manuel P./João V. (AE Sertã)</v>
      </c>
      <c r="CO102" s="134" t="str">
        <f>$D$17</f>
        <v>A4</v>
      </c>
    </row>
    <row r="103" spans="8:93" ht="7.5" customHeight="1">
      <c r="AZ103" s="88"/>
      <c r="BA103" s="84"/>
      <c r="BB103" s="84"/>
      <c r="BC103" s="84"/>
      <c r="BD103" s="84"/>
      <c r="BE103" s="84"/>
      <c r="BF103" s="84"/>
      <c r="BG103" s="84"/>
      <c r="BH103" s="84"/>
      <c r="BI103" s="84"/>
      <c r="BJ103" s="84"/>
      <c r="BK103" s="84"/>
      <c r="BL103" s="296"/>
      <c r="BM103" s="297"/>
      <c r="BN103" s="84"/>
      <c r="BO103" s="84"/>
      <c r="BP103" s="84"/>
      <c r="BQ103" s="84"/>
      <c r="BR103" s="84"/>
      <c r="BS103" s="84"/>
      <c r="BT103" s="84"/>
      <c r="BU103" s="84"/>
      <c r="BV103" s="84"/>
      <c r="BW103" s="84"/>
      <c r="BX103" s="84"/>
      <c r="BY103" s="84"/>
      <c r="BZ103" s="84"/>
      <c r="CA103" s="84"/>
      <c r="CB103" s="84"/>
      <c r="CC103" s="84"/>
      <c r="CD103" s="84"/>
      <c r="CE103" s="84"/>
      <c r="CF103" s="84"/>
      <c r="CG103" s="92"/>
      <c r="CI103" s="135">
        <f>$C$18</f>
        <v>2</v>
      </c>
      <c r="CJ103" s="135" t="str">
        <f t="shared" si="0"/>
        <v>Iniciados</v>
      </c>
      <c r="CK103" s="135" t="str">
        <f t="shared" si="1"/>
        <v>Pares</v>
      </c>
      <c r="CL103" s="135" t="str">
        <f t="shared" si="2"/>
        <v>Masculinos</v>
      </c>
      <c r="CM103" s="135" t="str">
        <f>$C$5</f>
        <v>Grupo A</v>
      </c>
      <c r="CN103" s="135" t="str">
        <f>$D$18</f>
        <v>A2</v>
      </c>
      <c r="CO103" s="135" t="str">
        <f>$D$19</f>
        <v>A3</v>
      </c>
    </row>
    <row r="104" spans="8:93" ht="17.25" customHeight="1" thickBot="1">
      <c r="AZ104" s="88"/>
      <c r="BA104" s="368" t="s">
        <v>34</v>
      </c>
      <c r="BB104" s="368"/>
      <c r="BC104" s="93" t="s">
        <v>20</v>
      </c>
      <c r="BD104" s="93"/>
      <c r="BE104" s="93"/>
      <c r="BF104" s="93" t="s">
        <v>21</v>
      </c>
      <c r="BG104" s="93"/>
      <c r="BH104" s="93"/>
      <c r="BI104" s="93" t="s">
        <v>22</v>
      </c>
      <c r="BJ104" s="93"/>
      <c r="BK104" s="93"/>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92"/>
      <c r="CI104" s="135">
        <f>$J$16</f>
        <v>3</v>
      </c>
      <c r="CJ104" s="135" t="str">
        <f t="shared" si="0"/>
        <v>Iniciados</v>
      </c>
      <c r="CK104" s="135" t="str">
        <f t="shared" si="1"/>
        <v>Pares</v>
      </c>
      <c r="CL104" s="135" t="str">
        <f t="shared" si="2"/>
        <v>Masculinos</v>
      </c>
      <c r="CM104" s="135" t="str">
        <f>$J$5</f>
        <v>Grupo B</v>
      </c>
      <c r="CN104" s="135" t="str">
        <f>$K$16</f>
        <v>B1</v>
      </c>
      <c r="CO104" s="135" t="str">
        <f>$K$17</f>
        <v>B4</v>
      </c>
    </row>
    <row r="105" spans="8:93" ht="19.5" customHeight="1">
      <c r="AZ105" s="88"/>
      <c r="BA105" s="350" t="str">
        <f>IF(BB102="","",VLOOKUP(BB102,$CI$102:$CO$145,6,FALSE))</f>
        <v>Manuel P./João V. (AE Sertã)</v>
      </c>
      <c r="BB105" s="351"/>
      <c r="BC105" s="354"/>
      <c r="BD105" s="355"/>
      <c r="BE105" s="356"/>
      <c r="BF105" s="354"/>
      <c r="BG105" s="355"/>
      <c r="BH105" s="356"/>
      <c r="BI105" s="354"/>
      <c r="BJ105" s="355"/>
      <c r="BK105" s="356"/>
      <c r="BL105" s="72"/>
      <c r="BM105" s="72"/>
      <c r="BN105" s="360"/>
      <c r="BO105" s="360"/>
      <c r="BP105" s="360"/>
      <c r="BQ105" s="94"/>
      <c r="BR105" s="95"/>
      <c r="BS105" s="84"/>
      <c r="BT105" s="84"/>
      <c r="BU105" s="84"/>
      <c r="BV105" s="84"/>
      <c r="BW105" s="84"/>
      <c r="BX105" s="84"/>
      <c r="BY105" s="84"/>
      <c r="BZ105" s="84"/>
      <c r="CA105" s="84"/>
      <c r="CB105" s="84"/>
      <c r="CC105" s="84"/>
      <c r="CD105" s="84"/>
      <c r="CE105" s="84"/>
      <c r="CF105" s="84"/>
      <c r="CG105" s="92"/>
      <c r="CI105" s="135">
        <f>$J$18</f>
        <v>4</v>
      </c>
      <c r="CJ105" s="135" t="str">
        <f t="shared" si="0"/>
        <v>Iniciados</v>
      </c>
      <c r="CK105" s="135" t="str">
        <f t="shared" si="1"/>
        <v>Pares</v>
      </c>
      <c r="CL105" s="135" t="str">
        <f t="shared" si="2"/>
        <v>Masculinos</v>
      </c>
      <c r="CM105" s="135" t="str">
        <f>$J$5</f>
        <v>Grupo B</v>
      </c>
      <c r="CN105" s="135" t="str">
        <f>$K$18</f>
        <v>B2</v>
      </c>
      <c r="CO105" s="135" t="str">
        <f>$K$19</f>
        <v>B3</v>
      </c>
    </row>
    <row r="106" spans="8:93" ht="19.5" customHeight="1" thickBot="1">
      <c r="AZ106" s="88"/>
      <c r="BA106" s="352"/>
      <c r="BB106" s="353"/>
      <c r="BC106" s="357"/>
      <c r="BD106" s="358"/>
      <c r="BE106" s="359"/>
      <c r="BF106" s="357"/>
      <c r="BG106" s="358"/>
      <c r="BH106" s="359"/>
      <c r="BI106" s="357"/>
      <c r="BJ106" s="358"/>
      <c r="BK106" s="359"/>
      <c r="BL106" s="72"/>
      <c r="BM106" s="72"/>
      <c r="BN106" s="360"/>
      <c r="BO106" s="360"/>
      <c r="BP106" s="360"/>
      <c r="BQ106" s="94"/>
      <c r="BR106" s="95"/>
      <c r="BS106" s="84"/>
      <c r="BT106" s="84"/>
      <c r="BU106" s="84"/>
      <c r="BV106" s="84"/>
      <c r="BW106" s="84"/>
      <c r="BX106" s="84"/>
      <c r="BY106" s="84"/>
      <c r="BZ106" s="84"/>
      <c r="CA106" s="84"/>
      <c r="CB106" s="84"/>
      <c r="CC106" s="84"/>
      <c r="CD106" s="84"/>
      <c r="CE106" s="84"/>
      <c r="CF106" s="84"/>
      <c r="CG106" s="92"/>
      <c r="CI106" s="135">
        <f>$Q$16</f>
        <v>5</v>
      </c>
      <c r="CJ106" s="135" t="str">
        <f t="shared" si="0"/>
        <v>Iniciados</v>
      </c>
      <c r="CK106" s="135" t="str">
        <f t="shared" si="1"/>
        <v>Pares</v>
      </c>
      <c r="CL106" s="135" t="str">
        <f t="shared" si="2"/>
        <v>Masculinos</v>
      </c>
      <c r="CM106" s="135" t="str">
        <f>$Q$5</f>
        <v>Grupo C</v>
      </c>
      <c r="CN106" s="135" t="str">
        <f>$R$16</f>
        <v>C1</v>
      </c>
      <c r="CO106" s="135" t="str">
        <f>$R$17</f>
        <v>C4</v>
      </c>
    </row>
    <row r="107" spans="8:93" ht="19.5" customHeight="1">
      <c r="AZ107" s="88"/>
      <c r="BA107" s="350" t="str">
        <f>IF(BB102="","",VLOOKUP(BB102,$CI$102:$CO$145,7,FALSE))</f>
        <v>A4</v>
      </c>
      <c r="BB107" s="351"/>
      <c r="BC107" s="354"/>
      <c r="BD107" s="355"/>
      <c r="BE107" s="356"/>
      <c r="BF107" s="354"/>
      <c r="BG107" s="355"/>
      <c r="BH107" s="356"/>
      <c r="BI107" s="354"/>
      <c r="BJ107" s="355"/>
      <c r="BK107" s="356"/>
      <c r="BL107" s="72"/>
      <c r="BM107" s="72"/>
      <c r="BN107" s="360"/>
      <c r="BO107" s="360"/>
      <c r="BP107" s="360"/>
      <c r="BQ107" s="94"/>
      <c r="BR107" s="95"/>
      <c r="BS107" s="84"/>
      <c r="BT107" s="84"/>
      <c r="BU107" s="84"/>
      <c r="BV107" s="84"/>
      <c r="BW107" s="84"/>
      <c r="BX107" s="84"/>
      <c r="BY107" s="84"/>
      <c r="BZ107" s="84"/>
      <c r="CA107" s="84"/>
      <c r="CB107" s="84"/>
      <c r="CC107" s="84"/>
      <c r="CD107" s="84"/>
      <c r="CE107" s="84"/>
      <c r="CF107" s="84"/>
      <c r="CG107" s="92"/>
      <c r="CI107" s="135">
        <f>$Q$18</f>
        <v>6</v>
      </c>
      <c r="CJ107" s="135" t="str">
        <f t="shared" si="0"/>
        <v>Iniciados</v>
      </c>
      <c r="CK107" s="135" t="str">
        <f t="shared" si="1"/>
        <v>Pares</v>
      </c>
      <c r="CL107" s="135" t="str">
        <f t="shared" si="2"/>
        <v>Masculinos</v>
      </c>
      <c r="CM107" s="135" t="str">
        <f>$Q$5</f>
        <v>Grupo C</v>
      </c>
      <c r="CN107" s="135" t="str">
        <f>$R$18</f>
        <v>C2</v>
      </c>
      <c r="CO107" s="135" t="str">
        <f>$R$19</f>
        <v>C3</v>
      </c>
    </row>
    <row r="108" spans="8:93" ht="19.5" customHeight="1" thickBot="1">
      <c r="AZ108" s="88"/>
      <c r="BA108" s="352"/>
      <c r="BB108" s="353"/>
      <c r="BC108" s="357"/>
      <c r="BD108" s="358"/>
      <c r="BE108" s="359"/>
      <c r="BF108" s="357"/>
      <c r="BG108" s="358"/>
      <c r="BH108" s="359"/>
      <c r="BI108" s="357"/>
      <c r="BJ108" s="358"/>
      <c r="BK108" s="359"/>
      <c r="BL108" s="72"/>
      <c r="BM108" s="72"/>
      <c r="BN108" s="360"/>
      <c r="BO108" s="360"/>
      <c r="BP108" s="360"/>
      <c r="BQ108" s="96"/>
      <c r="BR108" s="95"/>
      <c r="BS108" s="84"/>
      <c r="BT108" s="84"/>
      <c r="BU108" s="84"/>
      <c r="BV108" s="84"/>
      <c r="BW108" s="84"/>
      <c r="BX108" s="84"/>
      <c r="BY108" s="84"/>
      <c r="BZ108" s="84"/>
      <c r="CA108" s="84"/>
      <c r="CB108" s="84"/>
      <c r="CC108" s="84"/>
      <c r="CD108" s="84"/>
      <c r="CE108" s="84"/>
      <c r="CF108" s="84"/>
      <c r="CG108" s="92"/>
      <c r="CI108" s="135">
        <f>$X$16</f>
        <v>7</v>
      </c>
      <c r="CJ108" s="135" t="str">
        <f t="shared" si="0"/>
        <v>Iniciados</v>
      </c>
      <c r="CK108" s="135" t="str">
        <f t="shared" si="1"/>
        <v>Pares</v>
      </c>
      <c r="CL108" s="135" t="str">
        <f t="shared" si="2"/>
        <v>Masculinos</v>
      </c>
      <c r="CM108" s="135" t="str">
        <f>$X$5</f>
        <v>Grupo D</v>
      </c>
      <c r="CN108" s="135" t="str">
        <f>$Y$16</f>
        <v>D1</v>
      </c>
      <c r="CO108" s="135" t="str">
        <f>$Y$17</f>
        <v>D4</v>
      </c>
    </row>
    <row r="109" spans="8:93" ht="22.5" customHeight="1" thickBot="1">
      <c r="AZ109" s="88"/>
      <c r="BA109" s="97" t="s">
        <v>23</v>
      </c>
      <c r="BB109" s="361"/>
      <c r="BC109" s="362"/>
      <c r="BD109" s="362"/>
      <c r="BE109" s="362"/>
      <c r="BF109" s="363"/>
      <c r="BG109" s="363"/>
      <c r="BH109" s="363"/>
      <c r="BI109" s="363"/>
      <c r="BJ109" s="363"/>
      <c r="BK109" s="363"/>
      <c r="BL109" s="364"/>
      <c r="BM109" s="365"/>
      <c r="BN109" s="365"/>
      <c r="BO109" s="365"/>
      <c r="BP109" s="365"/>
      <c r="BQ109" s="95"/>
      <c r="BR109" s="95"/>
      <c r="BS109" s="84"/>
      <c r="BT109" s="84"/>
      <c r="BU109" s="84"/>
      <c r="BV109" s="84"/>
      <c r="BW109" s="84"/>
      <c r="BX109" s="84"/>
      <c r="BY109" s="84"/>
      <c r="BZ109" s="84"/>
      <c r="CA109" s="84"/>
      <c r="CB109" s="84"/>
      <c r="CC109" s="84"/>
      <c r="CD109" s="84"/>
      <c r="CE109" s="84"/>
      <c r="CF109" s="84"/>
      <c r="CG109" s="92"/>
      <c r="CI109" s="135">
        <f>$X$18</f>
        <v>8</v>
      </c>
      <c r="CJ109" s="135" t="str">
        <f t="shared" si="0"/>
        <v>Iniciados</v>
      </c>
      <c r="CK109" s="135" t="str">
        <f t="shared" si="1"/>
        <v>Pares</v>
      </c>
      <c r="CL109" s="135" t="str">
        <f t="shared" si="2"/>
        <v>Masculinos</v>
      </c>
      <c r="CM109" s="135" t="str">
        <f>$X$5</f>
        <v>Grupo D</v>
      </c>
      <c r="CN109" s="135" t="str">
        <f>$Y$18</f>
        <v>D2</v>
      </c>
      <c r="CO109" s="135" t="str">
        <f>$Y$19</f>
        <v>D3</v>
      </c>
    </row>
    <row r="110" spans="8:93" ht="18.75" customHeight="1">
      <c r="AZ110" s="88"/>
      <c r="BA110" s="73" t="s">
        <v>34</v>
      </c>
      <c r="BB110" s="73"/>
      <c r="BC110" s="73"/>
      <c r="BD110" s="73"/>
      <c r="BE110" s="73"/>
      <c r="BF110" s="73"/>
      <c r="BG110" s="73"/>
      <c r="BH110" s="93"/>
      <c r="BI110" s="93"/>
      <c r="BJ110" s="93"/>
      <c r="BK110" s="93"/>
      <c r="BL110" s="93"/>
      <c r="BM110" s="93"/>
      <c r="BN110" s="93"/>
      <c r="BO110" s="93"/>
      <c r="BP110" s="93"/>
      <c r="BQ110" s="93"/>
      <c r="BR110" s="84"/>
      <c r="BS110" s="84"/>
      <c r="BT110" s="84"/>
      <c r="BU110" s="84"/>
      <c r="BV110" s="84"/>
      <c r="BW110" s="84"/>
      <c r="BX110" s="84"/>
      <c r="BY110" s="84"/>
      <c r="BZ110" s="84"/>
      <c r="CA110" s="84"/>
      <c r="CB110" s="84"/>
      <c r="CC110" s="84"/>
      <c r="CD110" s="84"/>
      <c r="CE110" s="84"/>
      <c r="CF110" s="84"/>
      <c r="CG110" s="92"/>
      <c r="CI110" s="135">
        <f>$C$20</f>
        <v>9</v>
      </c>
      <c r="CJ110" s="135" t="str">
        <f t="shared" si="0"/>
        <v>Iniciados</v>
      </c>
      <c r="CK110" s="135" t="str">
        <f t="shared" si="1"/>
        <v>Pares</v>
      </c>
      <c r="CL110" s="135" t="str">
        <f t="shared" si="2"/>
        <v>Masculinos</v>
      </c>
      <c r="CM110" s="135" t="str">
        <f>$C$5</f>
        <v>Grupo A</v>
      </c>
      <c r="CN110" s="135" t="str">
        <f>$D$20</f>
        <v>A4</v>
      </c>
      <c r="CO110" s="135" t="str">
        <f>$D$21</f>
        <v>A3</v>
      </c>
    </row>
    <row r="111" spans="8:93" ht="15" customHeight="1">
      <c r="AZ111" s="88"/>
      <c r="BA111" s="346" t="str">
        <f>IF($BA$105="","",$BA$105)</f>
        <v>Manuel P./João V. (AE Sertã)</v>
      </c>
      <c r="BB111" s="347"/>
      <c r="BC111" s="74"/>
      <c r="BD111" s="75"/>
      <c r="BE111" s="75"/>
      <c r="BF111" s="75"/>
      <c r="BG111" s="75"/>
      <c r="BH111" s="75"/>
      <c r="BI111" s="75"/>
      <c r="BJ111" s="75"/>
      <c r="BK111" s="75"/>
      <c r="BL111" s="76"/>
      <c r="BM111" s="178"/>
      <c r="BN111" s="180"/>
      <c r="BO111" s="77"/>
      <c r="BP111" s="77"/>
      <c r="BQ111" s="77"/>
      <c r="BR111" s="78"/>
      <c r="BS111" s="75"/>
      <c r="BT111" s="75"/>
      <c r="BU111" s="75"/>
      <c r="BV111" s="75"/>
      <c r="BW111" s="178"/>
      <c r="BX111" s="76"/>
      <c r="BY111" s="75"/>
      <c r="BZ111" s="75"/>
      <c r="CA111" s="75"/>
      <c r="CB111" s="75"/>
      <c r="CC111" s="75"/>
      <c r="CD111" s="75"/>
      <c r="CE111" s="75"/>
      <c r="CF111" s="75"/>
      <c r="CG111" s="92"/>
      <c r="CI111" s="135">
        <f>$C$22</f>
        <v>10</v>
      </c>
      <c r="CJ111" s="135" t="str">
        <f t="shared" si="0"/>
        <v>Iniciados</v>
      </c>
      <c r="CK111" s="135" t="str">
        <f t="shared" si="1"/>
        <v>Pares</v>
      </c>
      <c r="CL111" s="135" t="str">
        <f t="shared" si="2"/>
        <v>Masculinos</v>
      </c>
      <c r="CM111" s="135" t="str">
        <f>$C$5</f>
        <v>Grupo A</v>
      </c>
      <c r="CN111" s="135" t="str">
        <f>$D$22</f>
        <v>Manuel P./João V. (AE Sertã)</v>
      </c>
      <c r="CO111" s="135" t="str">
        <f>$D$23</f>
        <v>A2</v>
      </c>
    </row>
    <row r="112" spans="8:93" ht="15" customHeight="1">
      <c r="AZ112" s="88"/>
      <c r="BA112" s="348"/>
      <c r="BB112" s="349"/>
      <c r="BC112" s="79"/>
      <c r="BD112" s="80"/>
      <c r="BE112" s="80"/>
      <c r="BF112" s="80"/>
      <c r="BG112" s="80"/>
      <c r="BH112" s="80"/>
      <c r="BI112" s="80"/>
      <c r="BJ112" s="80"/>
      <c r="BK112" s="80"/>
      <c r="BL112" s="81"/>
      <c r="BM112" s="179"/>
      <c r="BN112" s="181"/>
      <c r="BO112" s="82"/>
      <c r="BP112" s="82"/>
      <c r="BQ112" s="82"/>
      <c r="BR112" s="83"/>
      <c r="BS112" s="80"/>
      <c r="BT112" s="80"/>
      <c r="BU112" s="80"/>
      <c r="BV112" s="80"/>
      <c r="BW112" s="179"/>
      <c r="BX112" s="81"/>
      <c r="BY112" s="80"/>
      <c r="BZ112" s="80"/>
      <c r="CA112" s="80"/>
      <c r="CB112" s="80"/>
      <c r="CC112" s="80"/>
      <c r="CD112" s="80"/>
      <c r="CE112" s="80"/>
      <c r="CF112" s="80"/>
      <c r="CG112" s="98" t="s">
        <v>1</v>
      </c>
      <c r="CI112" s="135">
        <f>$J$20</f>
        <v>11</v>
      </c>
      <c r="CJ112" s="135" t="str">
        <f t="shared" si="0"/>
        <v>Iniciados</v>
      </c>
      <c r="CK112" s="135" t="str">
        <f t="shared" si="1"/>
        <v>Pares</v>
      </c>
      <c r="CL112" s="135" t="str">
        <f t="shared" si="2"/>
        <v>Masculinos</v>
      </c>
      <c r="CM112" s="135" t="str">
        <f>$J$5</f>
        <v>Grupo B</v>
      </c>
      <c r="CN112" s="135" t="str">
        <f>$K$20</f>
        <v>B4</v>
      </c>
      <c r="CO112" s="135" t="str">
        <f>$K$21</f>
        <v>B3</v>
      </c>
    </row>
    <row r="113" spans="52:93" ht="15" customHeight="1">
      <c r="AZ113" s="88"/>
      <c r="BA113" s="346" t="str">
        <f>IF($BA$107="","",$BA$107)</f>
        <v>A4</v>
      </c>
      <c r="BB113" s="347"/>
      <c r="BC113" s="74"/>
      <c r="BD113" s="75"/>
      <c r="BE113" s="75"/>
      <c r="BF113" s="75"/>
      <c r="BG113" s="75"/>
      <c r="BH113" s="75"/>
      <c r="BI113" s="75"/>
      <c r="BJ113" s="75"/>
      <c r="BK113" s="75"/>
      <c r="BL113" s="76"/>
      <c r="BM113" s="178"/>
      <c r="BN113" s="180"/>
      <c r="BO113" s="77"/>
      <c r="BP113" s="77"/>
      <c r="BQ113" s="77"/>
      <c r="BR113" s="78"/>
      <c r="BS113" s="75"/>
      <c r="BT113" s="75"/>
      <c r="BU113" s="75"/>
      <c r="BV113" s="75"/>
      <c r="BW113" s="178"/>
      <c r="BX113" s="76"/>
      <c r="BY113" s="75"/>
      <c r="BZ113" s="75"/>
      <c r="CA113" s="75"/>
      <c r="CB113" s="75"/>
      <c r="CC113" s="75"/>
      <c r="CD113" s="75"/>
      <c r="CE113" s="75"/>
      <c r="CF113" s="75"/>
      <c r="CG113" s="99"/>
      <c r="CI113" s="135">
        <f>$J$22</f>
        <v>12</v>
      </c>
      <c r="CJ113" s="135" t="str">
        <f t="shared" si="0"/>
        <v>Iniciados</v>
      </c>
      <c r="CK113" s="135" t="str">
        <f t="shared" si="1"/>
        <v>Pares</v>
      </c>
      <c r="CL113" s="135" t="str">
        <f t="shared" si="2"/>
        <v>Masculinos</v>
      </c>
      <c r="CM113" s="135" t="str">
        <f>$J$5</f>
        <v>Grupo B</v>
      </c>
      <c r="CN113" s="135" t="str">
        <f>$K$22</f>
        <v>B1</v>
      </c>
      <c r="CO113" s="135" t="str">
        <f>$K$23</f>
        <v>B2</v>
      </c>
    </row>
    <row r="114" spans="52:93" ht="15" customHeight="1">
      <c r="AZ114" s="88"/>
      <c r="BA114" s="348"/>
      <c r="BB114" s="349"/>
      <c r="BC114" s="79"/>
      <c r="BD114" s="80"/>
      <c r="BE114" s="80"/>
      <c r="BF114" s="80"/>
      <c r="BG114" s="80"/>
      <c r="BH114" s="80"/>
      <c r="BI114" s="80"/>
      <c r="BJ114" s="80"/>
      <c r="BK114" s="80"/>
      <c r="BL114" s="81"/>
      <c r="BM114" s="179"/>
      <c r="BN114" s="181"/>
      <c r="BO114" s="82"/>
      <c r="BP114" s="82"/>
      <c r="BQ114" s="82"/>
      <c r="BR114" s="83"/>
      <c r="BS114" s="80"/>
      <c r="BT114" s="80"/>
      <c r="BU114" s="80"/>
      <c r="BV114" s="80"/>
      <c r="BW114" s="179"/>
      <c r="BX114" s="81"/>
      <c r="BY114" s="80"/>
      <c r="BZ114" s="80"/>
      <c r="CA114" s="80"/>
      <c r="CB114" s="80"/>
      <c r="CC114" s="80"/>
      <c r="CD114" s="80"/>
      <c r="CE114" s="80"/>
      <c r="CF114" s="80"/>
      <c r="CG114" s="92"/>
      <c r="CI114" s="135">
        <f>$Q$20</f>
        <v>13</v>
      </c>
      <c r="CJ114" s="135" t="str">
        <f t="shared" si="0"/>
        <v>Iniciados</v>
      </c>
      <c r="CK114" s="135" t="str">
        <f t="shared" si="1"/>
        <v>Pares</v>
      </c>
      <c r="CL114" s="135" t="str">
        <f t="shared" si="2"/>
        <v>Masculinos</v>
      </c>
      <c r="CM114" s="135" t="str">
        <f>$Q$5</f>
        <v>Grupo C</v>
      </c>
      <c r="CN114" s="135" t="str">
        <f>$R$20</f>
        <v>C4</v>
      </c>
      <c r="CO114" s="135" t="str">
        <f>$R$21</f>
        <v>C3</v>
      </c>
    </row>
    <row r="115" spans="52:93" ht="12.75" customHeight="1">
      <c r="AZ115" s="88"/>
      <c r="BA115" s="84"/>
      <c r="BB115" s="84"/>
      <c r="BC115" s="100">
        <v>1</v>
      </c>
      <c r="BD115" s="100">
        <v>2</v>
      </c>
      <c r="BE115" s="100">
        <v>3</v>
      </c>
      <c r="BF115" s="100">
        <v>4</v>
      </c>
      <c r="BG115" s="100">
        <v>5</v>
      </c>
      <c r="BH115" s="100">
        <v>6</v>
      </c>
      <c r="BI115" s="100">
        <v>7</v>
      </c>
      <c r="BJ115" s="100">
        <v>8</v>
      </c>
      <c r="BK115" s="100">
        <v>9</v>
      </c>
      <c r="BL115" s="100">
        <v>10</v>
      </c>
      <c r="BM115" s="100">
        <v>11</v>
      </c>
      <c r="BN115" s="100">
        <v>12</v>
      </c>
      <c r="BO115" s="100">
        <v>13</v>
      </c>
      <c r="BP115" s="100">
        <v>14</v>
      </c>
      <c r="BQ115" s="100">
        <v>15</v>
      </c>
      <c r="BR115" s="100">
        <v>16</v>
      </c>
      <c r="BS115" s="100">
        <v>17</v>
      </c>
      <c r="BT115" s="100">
        <v>18</v>
      </c>
      <c r="BU115" s="100">
        <v>19</v>
      </c>
      <c r="BV115" s="100">
        <v>20</v>
      </c>
      <c r="BW115" s="100">
        <v>21</v>
      </c>
      <c r="BX115" s="100">
        <v>22</v>
      </c>
      <c r="BY115" s="100">
        <v>23</v>
      </c>
      <c r="BZ115" s="100">
        <v>24</v>
      </c>
      <c r="CA115" s="100">
        <v>25</v>
      </c>
      <c r="CB115" s="100">
        <v>26</v>
      </c>
      <c r="CC115" s="100">
        <v>27</v>
      </c>
      <c r="CD115" s="100">
        <v>28</v>
      </c>
      <c r="CE115" s="100">
        <v>29</v>
      </c>
      <c r="CF115" s="100">
        <v>30</v>
      </c>
      <c r="CG115" s="101"/>
      <c r="CI115" s="135">
        <f>$Q$22</f>
        <v>14</v>
      </c>
      <c r="CJ115" s="135" t="str">
        <f t="shared" si="0"/>
        <v>Iniciados</v>
      </c>
      <c r="CK115" s="135" t="str">
        <f t="shared" si="1"/>
        <v>Pares</v>
      </c>
      <c r="CL115" s="135" t="str">
        <f t="shared" si="2"/>
        <v>Masculinos</v>
      </c>
      <c r="CM115" s="135" t="str">
        <f>$Q$5</f>
        <v>Grupo C</v>
      </c>
      <c r="CN115" s="135" t="str">
        <f>$R$22</f>
        <v>C1</v>
      </c>
      <c r="CO115" s="135" t="str">
        <f>$R$23</f>
        <v>C2</v>
      </c>
    </row>
    <row r="116" spans="52:93" ht="15" customHeight="1">
      <c r="AZ116" s="88"/>
      <c r="BA116" s="346" t="str">
        <f>IF($BA$105="","",$BA$105)</f>
        <v>Manuel P./João V. (AE Sertã)</v>
      </c>
      <c r="BB116" s="347"/>
      <c r="BC116" s="74"/>
      <c r="BD116" s="75"/>
      <c r="BE116" s="75"/>
      <c r="BF116" s="75"/>
      <c r="BG116" s="75"/>
      <c r="BH116" s="75"/>
      <c r="BI116" s="75"/>
      <c r="BJ116" s="75"/>
      <c r="BK116" s="75"/>
      <c r="BL116" s="76"/>
      <c r="BM116" s="178"/>
      <c r="BN116" s="180"/>
      <c r="BO116" s="77"/>
      <c r="BP116" s="77"/>
      <c r="BQ116" s="77"/>
      <c r="BR116" s="78"/>
      <c r="BS116" s="75"/>
      <c r="BT116" s="75"/>
      <c r="BU116" s="75"/>
      <c r="BV116" s="75"/>
      <c r="BW116" s="178"/>
      <c r="BX116" s="76"/>
      <c r="BY116" s="75"/>
      <c r="BZ116" s="75"/>
      <c r="CA116" s="75"/>
      <c r="CB116" s="75"/>
      <c r="CC116" s="75"/>
      <c r="CD116" s="75"/>
      <c r="CE116" s="75"/>
      <c r="CF116" s="75"/>
      <c r="CG116" s="92"/>
      <c r="CI116" s="135">
        <f>$X$20</f>
        <v>15</v>
      </c>
      <c r="CJ116" s="135" t="str">
        <f t="shared" si="0"/>
        <v>Iniciados</v>
      </c>
      <c r="CK116" s="135" t="str">
        <f t="shared" si="1"/>
        <v>Pares</v>
      </c>
      <c r="CL116" s="135" t="str">
        <f t="shared" si="2"/>
        <v>Masculinos</v>
      </c>
      <c r="CM116" s="135" t="str">
        <f>$X$5</f>
        <v>Grupo D</v>
      </c>
      <c r="CN116" s="135" t="str">
        <f>$Y$20</f>
        <v>D4</v>
      </c>
      <c r="CO116" s="135" t="str">
        <f>$Y$21</f>
        <v>D3</v>
      </c>
    </row>
    <row r="117" spans="52:93" ht="15" customHeight="1">
      <c r="AZ117" s="88"/>
      <c r="BA117" s="348"/>
      <c r="BB117" s="349"/>
      <c r="BC117" s="79"/>
      <c r="BD117" s="80"/>
      <c r="BE117" s="80"/>
      <c r="BF117" s="80"/>
      <c r="BG117" s="80"/>
      <c r="BH117" s="80"/>
      <c r="BI117" s="80"/>
      <c r="BJ117" s="80"/>
      <c r="BK117" s="80"/>
      <c r="BL117" s="81"/>
      <c r="BM117" s="179"/>
      <c r="BN117" s="181"/>
      <c r="BO117" s="82"/>
      <c r="BP117" s="82"/>
      <c r="BQ117" s="82"/>
      <c r="BR117" s="83"/>
      <c r="BS117" s="80"/>
      <c r="BT117" s="80"/>
      <c r="BU117" s="80"/>
      <c r="BV117" s="80"/>
      <c r="BW117" s="179"/>
      <c r="BX117" s="81"/>
      <c r="BY117" s="80"/>
      <c r="BZ117" s="80"/>
      <c r="CA117" s="80"/>
      <c r="CB117" s="80"/>
      <c r="CC117" s="80"/>
      <c r="CD117" s="80"/>
      <c r="CE117" s="80"/>
      <c r="CF117" s="80"/>
      <c r="CG117" s="92"/>
      <c r="CI117" s="135">
        <f>$X$22</f>
        <v>16</v>
      </c>
      <c r="CJ117" s="135" t="str">
        <f t="shared" si="0"/>
        <v>Iniciados</v>
      </c>
      <c r="CK117" s="135" t="str">
        <f t="shared" si="1"/>
        <v>Pares</v>
      </c>
      <c r="CL117" s="135" t="str">
        <f t="shared" si="2"/>
        <v>Masculinos</v>
      </c>
      <c r="CM117" s="135" t="str">
        <f>$X$5</f>
        <v>Grupo D</v>
      </c>
      <c r="CN117" s="135" t="str">
        <f>$Y$22</f>
        <v>D1</v>
      </c>
      <c r="CO117" s="135" t="str">
        <f>$Y$23</f>
        <v>D2</v>
      </c>
    </row>
    <row r="118" spans="52:93" ht="15" customHeight="1">
      <c r="AZ118" s="88"/>
      <c r="BA118" s="346" t="str">
        <f>IF($BA$107="","",$BA$107)</f>
        <v>A4</v>
      </c>
      <c r="BB118" s="347"/>
      <c r="BC118" s="74"/>
      <c r="BD118" s="75"/>
      <c r="BE118" s="75"/>
      <c r="BF118" s="75"/>
      <c r="BG118" s="75"/>
      <c r="BH118" s="75"/>
      <c r="BI118" s="75"/>
      <c r="BJ118" s="75"/>
      <c r="BK118" s="75"/>
      <c r="BL118" s="76"/>
      <c r="BM118" s="178"/>
      <c r="BN118" s="180"/>
      <c r="BO118" s="77"/>
      <c r="BP118" s="77"/>
      <c r="BQ118" s="77"/>
      <c r="BR118" s="78"/>
      <c r="BS118" s="75"/>
      <c r="BT118" s="75"/>
      <c r="BU118" s="75"/>
      <c r="BV118" s="75"/>
      <c r="BW118" s="178"/>
      <c r="BX118" s="76"/>
      <c r="BY118" s="75"/>
      <c r="BZ118" s="75"/>
      <c r="CA118" s="75"/>
      <c r="CB118" s="75"/>
      <c r="CC118" s="75"/>
      <c r="CD118" s="75"/>
      <c r="CE118" s="75"/>
      <c r="CF118" s="75"/>
      <c r="CG118" s="98" t="s">
        <v>2</v>
      </c>
      <c r="CI118" s="135">
        <f>$C$24</f>
        <v>17</v>
      </c>
      <c r="CJ118" s="135" t="str">
        <f t="shared" si="0"/>
        <v>Iniciados</v>
      </c>
      <c r="CK118" s="135" t="str">
        <f t="shared" si="1"/>
        <v>Pares</v>
      </c>
      <c r="CL118" s="135" t="str">
        <f t="shared" si="2"/>
        <v>Masculinos</v>
      </c>
      <c r="CM118" s="135" t="str">
        <f>$C$5</f>
        <v>Grupo A</v>
      </c>
      <c r="CN118" s="135" t="str">
        <f>$D$24</f>
        <v>A2</v>
      </c>
      <c r="CO118" s="135" t="str">
        <f>$D$25</f>
        <v>A4</v>
      </c>
    </row>
    <row r="119" spans="52:93" ht="15" customHeight="1">
      <c r="AZ119" s="88"/>
      <c r="BA119" s="348"/>
      <c r="BB119" s="349"/>
      <c r="BC119" s="79"/>
      <c r="BD119" s="80"/>
      <c r="BE119" s="80"/>
      <c r="BF119" s="80"/>
      <c r="BG119" s="80"/>
      <c r="BH119" s="80"/>
      <c r="BI119" s="80"/>
      <c r="BJ119" s="80"/>
      <c r="BK119" s="80"/>
      <c r="BL119" s="81"/>
      <c r="BM119" s="179"/>
      <c r="BN119" s="181"/>
      <c r="BO119" s="82"/>
      <c r="BP119" s="82"/>
      <c r="BQ119" s="82"/>
      <c r="BR119" s="83"/>
      <c r="BS119" s="80"/>
      <c r="BT119" s="80"/>
      <c r="BU119" s="80"/>
      <c r="BV119" s="80"/>
      <c r="BW119" s="179"/>
      <c r="BX119" s="81"/>
      <c r="BY119" s="80"/>
      <c r="BZ119" s="80"/>
      <c r="CA119" s="80"/>
      <c r="CB119" s="80"/>
      <c r="CC119" s="80"/>
      <c r="CD119" s="80"/>
      <c r="CE119" s="80"/>
      <c r="CF119" s="80"/>
      <c r="CG119" s="92"/>
      <c r="CI119" s="135">
        <f>$C$26</f>
        <v>18</v>
      </c>
      <c r="CJ119" s="135" t="str">
        <f t="shared" si="0"/>
        <v>Iniciados</v>
      </c>
      <c r="CK119" s="135" t="str">
        <f t="shared" si="1"/>
        <v>Pares</v>
      </c>
      <c r="CL119" s="135" t="str">
        <f t="shared" si="2"/>
        <v>Masculinos</v>
      </c>
      <c r="CM119" s="135" t="str">
        <f>$C$5</f>
        <v>Grupo A</v>
      </c>
      <c r="CN119" s="135" t="str">
        <f>$D$26</f>
        <v>A3</v>
      </c>
      <c r="CO119" s="135" t="str">
        <f>$D$27</f>
        <v>Manuel P./João V. (AE Sertã)</v>
      </c>
    </row>
    <row r="120" spans="52:93" ht="12.75" customHeight="1">
      <c r="AZ120" s="88"/>
      <c r="BA120" s="84"/>
      <c r="BB120" s="84"/>
      <c r="BC120" s="100">
        <v>1</v>
      </c>
      <c r="BD120" s="100">
        <v>2</v>
      </c>
      <c r="BE120" s="100">
        <v>3</v>
      </c>
      <c r="BF120" s="100">
        <v>4</v>
      </c>
      <c r="BG120" s="100">
        <v>5</v>
      </c>
      <c r="BH120" s="100">
        <v>6</v>
      </c>
      <c r="BI120" s="100">
        <v>7</v>
      </c>
      <c r="BJ120" s="100">
        <v>8</v>
      </c>
      <c r="BK120" s="100">
        <v>9</v>
      </c>
      <c r="BL120" s="100">
        <v>10</v>
      </c>
      <c r="BM120" s="100">
        <v>11</v>
      </c>
      <c r="BN120" s="100">
        <v>12</v>
      </c>
      <c r="BO120" s="100">
        <v>13</v>
      </c>
      <c r="BP120" s="100">
        <v>14</v>
      </c>
      <c r="BQ120" s="100">
        <v>15</v>
      </c>
      <c r="BR120" s="100">
        <v>16</v>
      </c>
      <c r="BS120" s="100">
        <v>17</v>
      </c>
      <c r="BT120" s="100">
        <v>18</v>
      </c>
      <c r="BU120" s="100">
        <v>19</v>
      </c>
      <c r="BV120" s="100">
        <v>20</v>
      </c>
      <c r="BW120" s="100">
        <v>21</v>
      </c>
      <c r="BX120" s="100">
        <v>22</v>
      </c>
      <c r="BY120" s="100">
        <v>23</v>
      </c>
      <c r="BZ120" s="100">
        <v>24</v>
      </c>
      <c r="CA120" s="100">
        <v>25</v>
      </c>
      <c r="CB120" s="100">
        <v>26</v>
      </c>
      <c r="CC120" s="100">
        <v>27</v>
      </c>
      <c r="CD120" s="100">
        <v>28</v>
      </c>
      <c r="CE120" s="100">
        <v>29</v>
      </c>
      <c r="CF120" s="100">
        <v>30</v>
      </c>
      <c r="CG120" s="101"/>
      <c r="CI120" s="135">
        <f>$J$24</f>
        <v>19</v>
      </c>
      <c r="CJ120" s="135" t="str">
        <f t="shared" si="0"/>
        <v>Iniciados</v>
      </c>
      <c r="CK120" s="135" t="str">
        <f t="shared" si="1"/>
        <v>Pares</v>
      </c>
      <c r="CL120" s="135" t="str">
        <f t="shared" si="2"/>
        <v>Masculinos</v>
      </c>
      <c r="CM120" s="135" t="str">
        <f>$J$5</f>
        <v>Grupo B</v>
      </c>
      <c r="CN120" s="135" t="str">
        <f>$K$24</f>
        <v>B2</v>
      </c>
      <c r="CO120" s="135" t="str">
        <f>$K$25</f>
        <v>B4</v>
      </c>
    </row>
    <row r="121" spans="52:93" ht="15" customHeight="1">
      <c r="AZ121" s="88"/>
      <c r="BA121" s="346" t="str">
        <f>IF($BA$105="","",$BA$105)</f>
        <v>Manuel P./João V. (AE Sertã)</v>
      </c>
      <c r="BB121" s="347"/>
      <c r="BC121" s="74"/>
      <c r="BD121" s="75"/>
      <c r="BE121" s="75"/>
      <c r="BF121" s="75"/>
      <c r="BG121" s="75"/>
      <c r="BH121" s="75"/>
      <c r="BI121" s="75"/>
      <c r="BJ121" s="75"/>
      <c r="BK121" s="75"/>
      <c r="BL121" s="76"/>
      <c r="BM121" s="178"/>
      <c r="BN121" s="180"/>
      <c r="BO121" s="77"/>
      <c r="BP121" s="77"/>
      <c r="BQ121" s="77"/>
      <c r="BR121" s="78"/>
      <c r="BS121" s="75"/>
      <c r="BT121" s="75"/>
      <c r="BU121" s="75"/>
      <c r="BV121" s="75"/>
      <c r="BW121" s="178"/>
      <c r="BX121" s="76"/>
      <c r="BY121" s="75"/>
      <c r="BZ121" s="75"/>
      <c r="CA121" s="75"/>
      <c r="CB121" s="75"/>
      <c r="CC121" s="75"/>
      <c r="CD121" s="75"/>
      <c r="CE121" s="75"/>
      <c r="CF121" s="75"/>
      <c r="CG121" s="92"/>
      <c r="CI121" s="135">
        <f>$J$26</f>
        <v>20</v>
      </c>
      <c r="CJ121" s="135" t="str">
        <f t="shared" si="0"/>
        <v>Iniciados</v>
      </c>
      <c r="CK121" s="135" t="str">
        <f t="shared" si="1"/>
        <v>Pares</v>
      </c>
      <c r="CL121" s="135" t="str">
        <f t="shared" si="2"/>
        <v>Masculinos</v>
      </c>
      <c r="CM121" s="135" t="str">
        <f>$J$5</f>
        <v>Grupo B</v>
      </c>
      <c r="CN121" s="135" t="str">
        <f>$K$26</f>
        <v>B3</v>
      </c>
      <c r="CO121" s="135" t="str">
        <f>$K$27</f>
        <v>B1</v>
      </c>
    </row>
    <row r="122" spans="52:93" ht="15" customHeight="1">
      <c r="AZ122" s="88"/>
      <c r="BA122" s="348"/>
      <c r="BB122" s="349"/>
      <c r="BC122" s="79"/>
      <c r="BD122" s="80"/>
      <c r="BE122" s="80"/>
      <c r="BF122" s="80"/>
      <c r="BG122" s="80"/>
      <c r="BH122" s="80"/>
      <c r="BI122" s="80"/>
      <c r="BJ122" s="80"/>
      <c r="BK122" s="80"/>
      <c r="BL122" s="81"/>
      <c r="BM122" s="179"/>
      <c r="BN122" s="181"/>
      <c r="BO122" s="82"/>
      <c r="BP122" s="82"/>
      <c r="BQ122" s="82"/>
      <c r="BR122" s="83"/>
      <c r="BS122" s="80"/>
      <c r="BT122" s="80"/>
      <c r="BU122" s="80"/>
      <c r="BV122" s="80"/>
      <c r="BW122" s="179"/>
      <c r="BX122" s="81"/>
      <c r="BY122" s="80"/>
      <c r="BZ122" s="80"/>
      <c r="CA122" s="80"/>
      <c r="CB122" s="80"/>
      <c r="CC122" s="80"/>
      <c r="CD122" s="80"/>
      <c r="CE122" s="80"/>
      <c r="CF122" s="80"/>
      <c r="CG122" s="92"/>
      <c r="CI122" s="135">
        <f>$Q$24</f>
        <v>21</v>
      </c>
      <c r="CJ122" s="135" t="str">
        <f t="shared" si="0"/>
        <v>Iniciados</v>
      </c>
      <c r="CK122" s="135" t="str">
        <f t="shared" si="1"/>
        <v>Pares</v>
      </c>
      <c r="CL122" s="135" t="str">
        <f t="shared" si="2"/>
        <v>Masculinos</v>
      </c>
      <c r="CM122" s="135" t="str">
        <f>$Q$5</f>
        <v>Grupo C</v>
      </c>
      <c r="CN122" s="135" t="str">
        <f>$R$24</f>
        <v>C2</v>
      </c>
      <c r="CO122" s="135" t="str">
        <f>$R$25</f>
        <v>C4</v>
      </c>
    </row>
    <row r="123" spans="52:93" ht="15" customHeight="1">
      <c r="AZ123" s="88"/>
      <c r="BA123" s="346" t="str">
        <f>IF($BA$107="","",$BA$107)</f>
        <v>A4</v>
      </c>
      <c r="BB123" s="347"/>
      <c r="BC123" s="74"/>
      <c r="BD123" s="75"/>
      <c r="BE123" s="75"/>
      <c r="BF123" s="75"/>
      <c r="BG123" s="75"/>
      <c r="BH123" s="75"/>
      <c r="BI123" s="75"/>
      <c r="BJ123" s="75"/>
      <c r="BK123" s="75"/>
      <c r="BL123" s="76"/>
      <c r="BM123" s="178"/>
      <c r="BN123" s="180"/>
      <c r="BO123" s="77"/>
      <c r="BP123" s="77"/>
      <c r="BQ123" s="77"/>
      <c r="BR123" s="78"/>
      <c r="BS123" s="75"/>
      <c r="BT123" s="75"/>
      <c r="BU123" s="75"/>
      <c r="BV123" s="75"/>
      <c r="BW123" s="178"/>
      <c r="BX123" s="76"/>
      <c r="BY123" s="75"/>
      <c r="BZ123" s="75"/>
      <c r="CA123" s="75"/>
      <c r="CB123" s="75"/>
      <c r="CC123" s="75"/>
      <c r="CD123" s="75"/>
      <c r="CE123" s="75"/>
      <c r="CF123" s="75"/>
      <c r="CG123" s="98" t="s">
        <v>3</v>
      </c>
      <c r="CI123" s="135">
        <f>$Q$26</f>
        <v>22</v>
      </c>
      <c r="CJ123" s="135" t="str">
        <f t="shared" si="0"/>
        <v>Iniciados</v>
      </c>
      <c r="CK123" s="135" t="str">
        <f t="shared" si="1"/>
        <v>Pares</v>
      </c>
      <c r="CL123" s="135" t="str">
        <f t="shared" si="2"/>
        <v>Masculinos</v>
      </c>
      <c r="CM123" s="135" t="str">
        <f>$Q$5</f>
        <v>Grupo C</v>
      </c>
      <c r="CN123" s="135" t="str">
        <f>$R$26</f>
        <v>C3</v>
      </c>
      <c r="CO123" s="135" t="str">
        <f>$R$27</f>
        <v>C1</v>
      </c>
    </row>
    <row r="124" spans="52:93" ht="15" customHeight="1">
      <c r="AZ124" s="88"/>
      <c r="BA124" s="348"/>
      <c r="BB124" s="349"/>
      <c r="BC124" s="79"/>
      <c r="BD124" s="80"/>
      <c r="BE124" s="80"/>
      <c r="BF124" s="80"/>
      <c r="BG124" s="80"/>
      <c r="BH124" s="80"/>
      <c r="BI124" s="80"/>
      <c r="BJ124" s="80"/>
      <c r="BK124" s="80"/>
      <c r="BL124" s="81"/>
      <c r="BM124" s="179"/>
      <c r="BN124" s="181"/>
      <c r="BO124" s="82"/>
      <c r="BP124" s="82"/>
      <c r="BQ124" s="82"/>
      <c r="BR124" s="83"/>
      <c r="BS124" s="80"/>
      <c r="BT124" s="80"/>
      <c r="BU124" s="80"/>
      <c r="BV124" s="80"/>
      <c r="BW124" s="179"/>
      <c r="BX124" s="81"/>
      <c r="BY124" s="80"/>
      <c r="BZ124" s="80"/>
      <c r="CA124" s="80"/>
      <c r="CB124" s="80"/>
      <c r="CC124" s="80"/>
      <c r="CD124" s="80"/>
      <c r="CE124" s="80"/>
      <c r="CF124" s="80"/>
      <c r="CG124" s="92"/>
      <c r="CI124" s="135">
        <f>$X$24</f>
        <v>23</v>
      </c>
      <c r="CJ124" s="135" t="str">
        <f t="shared" si="0"/>
        <v>Iniciados</v>
      </c>
      <c r="CK124" s="135" t="str">
        <f t="shared" si="1"/>
        <v>Pares</v>
      </c>
      <c r="CL124" s="135" t="str">
        <f t="shared" si="2"/>
        <v>Masculinos</v>
      </c>
      <c r="CM124" s="135" t="str">
        <f>$X$5</f>
        <v>Grupo D</v>
      </c>
      <c r="CN124" s="135" t="str">
        <f>$Y$24</f>
        <v>D2</v>
      </c>
      <c r="CO124" s="135" t="str">
        <f>$Y$25</f>
        <v>D4</v>
      </c>
    </row>
    <row r="125" spans="52:93" ht="44.25" customHeight="1">
      <c r="AZ125" s="102"/>
      <c r="BA125" s="103" t="s">
        <v>35</v>
      </c>
      <c r="BB125" s="104"/>
      <c r="BC125" s="105"/>
      <c r="BD125" s="105"/>
      <c r="BE125" s="105"/>
      <c r="BF125" s="105"/>
      <c r="BG125" s="105"/>
      <c r="BH125" s="105"/>
      <c r="BI125" s="105"/>
      <c r="BJ125" s="105"/>
      <c r="BK125" s="105"/>
      <c r="BL125" s="105"/>
      <c r="BM125" s="105"/>
      <c r="BN125" s="105"/>
      <c r="BO125" s="105"/>
      <c r="BP125" s="105"/>
      <c r="BQ125" s="105"/>
      <c r="BR125" s="85"/>
      <c r="BS125" s="85"/>
      <c r="BT125" s="85"/>
      <c r="BU125" s="85"/>
      <c r="BV125" s="85"/>
      <c r="BW125" s="85"/>
      <c r="BX125" s="85"/>
      <c r="BY125" s="85"/>
      <c r="BZ125" s="85"/>
      <c r="CA125" s="85"/>
      <c r="CB125" s="85"/>
      <c r="CC125" s="85"/>
      <c r="CD125" s="85"/>
      <c r="CE125" s="85"/>
      <c r="CF125" s="85"/>
      <c r="CG125" s="81"/>
      <c r="CI125" s="135">
        <f>$X$26</f>
        <v>24</v>
      </c>
      <c r="CJ125" s="135" t="str">
        <f t="shared" si="0"/>
        <v>Iniciados</v>
      </c>
      <c r="CK125" s="135" t="str">
        <f t="shared" si="1"/>
        <v>Pares</v>
      </c>
      <c r="CL125" s="135" t="str">
        <f t="shared" si="2"/>
        <v>Masculinos</v>
      </c>
      <c r="CM125" s="135" t="str">
        <f>$X$5</f>
        <v>Grupo D</v>
      </c>
      <c r="CN125" s="135" t="str">
        <f>$Y$26</f>
        <v>D3</v>
      </c>
      <c r="CO125" s="135" t="str">
        <f>$Y$27</f>
        <v>D1</v>
      </c>
    </row>
    <row r="126" spans="52:93" ht="185.25" customHeight="1">
      <c r="AZ126" s="366" t="s">
        <v>412</v>
      </c>
      <c r="BA126" s="366"/>
      <c r="BB126" s="366"/>
      <c r="BC126" s="366"/>
      <c r="BD126" s="366"/>
      <c r="BE126" s="366"/>
      <c r="BF126" s="366"/>
      <c r="BG126" s="366"/>
      <c r="BH126" s="366"/>
      <c r="BI126" s="366"/>
      <c r="BJ126" s="366"/>
      <c r="BK126" s="366"/>
      <c r="BL126" s="366"/>
      <c r="BM126" s="366"/>
      <c r="BN126" s="366"/>
      <c r="BO126" s="366"/>
      <c r="BP126" s="366"/>
      <c r="BQ126" s="366"/>
      <c r="BR126" s="366"/>
      <c r="BS126" s="366"/>
      <c r="BT126" s="366"/>
      <c r="BU126" s="366"/>
      <c r="BV126" s="366"/>
      <c r="BW126" s="366"/>
      <c r="BX126" s="366"/>
      <c r="BY126" s="366"/>
      <c r="BZ126" s="366"/>
      <c r="CA126" s="366"/>
      <c r="CB126" s="366"/>
      <c r="CC126" s="366"/>
      <c r="CD126" s="366"/>
      <c r="CE126" s="366"/>
      <c r="CF126" s="366"/>
      <c r="CG126" s="366"/>
      <c r="CI126" s="135">
        <f>$H$31</f>
        <v>25</v>
      </c>
      <c r="CJ126" s="135" t="str">
        <f t="shared" si="0"/>
        <v>Iniciados</v>
      </c>
      <c r="CK126" s="135" t="str">
        <f t="shared" si="1"/>
        <v>Pares</v>
      </c>
      <c r="CL126" s="135" t="str">
        <f t="shared" si="2"/>
        <v>Masculinos</v>
      </c>
      <c r="CM126" s="135" t="str">
        <f>"1º Jogo dos 1/4 final"</f>
        <v>1º Jogo dos 1/4 final</v>
      </c>
      <c r="CN126" s="135" t="str">
        <f>$C$30</f>
        <v>Manuel P./João V. (AE Sertã)</v>
      </c>
      <c r="CO126" s="135" t="str">
        <f>$C$32</f>
        <v>2º do grupo B</v>
      </c>
    </row>
    <row r="127" spans="52:93" ht="38.25" customHeight="1">
      <c r="AZ127" s="87"/>
      <c r="BA127" s="367" t="str">
        <f>IF(BB128="","",CONCATENATE(VLOOKUP(BB128,$CI$102:$CO$145,2,FALSE),"  -  ",VLOOKUP(BB128,$CI$102:$CO$145,3,FALSE),,"  -  ",VLOOKUP(BB128,$CI$102:$CO$145,4,FALSE),"  -  ",VLOOKUP(BB128,$CI$102:$CO$145,5,FALSE)))</f>
        <v>Iniciados  -  Pares  -  Masculinos  -  Grupo B</v>
      </c>
      <c r="BB127" s="367"/>
      <c r="BC127" s="367"/>
      <c r="BD127" s="367"/>
      <c r="BE127" s="367"/>
      <c r="BF127" s="367"/>
      <c r="BG127" s="367"/>
      <c r="BH127" s="367"/>
      <c r="BI127" s="367"/>
      <c r="BJ127" s="367"/>
      <c r="BK127" s="367"/>
      <c r="BL127" s="367"/>
      <c r="BM127" s="367"/>
      <c r="BN127" s="86"/>
      <c r="BO127" s="86"/>
      <c r="BP127" s="86"/>
      <c r="BQ127" s="86"/>
      <c r="BR127" s="86"/>
      <c r="BS127" s="86"/>
      <c r="BT127" s="86"/>
      <c r="BU127" s="86"/>
      <c r="BV127" s="86"/>
      <c r="BW127" s="86"/>
      <c r="BX127" s="86"/>
      <c r="BY127" s="86"/>
      <c r="BZ127" s="86"/>
      <c r="CA127" s="86"/>
      <c r="CB127" s="86"/>
      <c r="CC127" s="86"/>
      <c r="CD127" s="86"/>
      <c r="CE127" s="86"/>
      <c r="CF127" s="86"/>
      <c r="CG127" s="76"/>
      <c r="CI127" s="135">
        <f>$H$35</f>
        <v>26</v>
      </c>
      <c r="CJ127" s="135" t="str">
        <f t="shared" si="0"/>
        <v>Iniciados</v>
      </c>
      <c r="CK127" s="135" t="str">
        <f t="shared" si="1"/>
        <v>Pares</v>
      </c>
      <c r="CL127" s="135" t="str">
        <f t="shared" si="2"/>
        <v>Masculinos</v>
      </c>
      <c r="CM127" s="135" t="str">
        <f>"2º Jogo dos 1/4 final"</f>
        <v>2º Jogo dos 1/4 final</v>
      </c>
      <c r="CN127" s="135" t="str">
        <f>$C$34</f>
        <v>2º do grupo D</v>
      </c>
      <c r="CO127" s="135" t="str">
        <f>$C$36</f>
        <v>1º do grupo C</v>
      </c>
    </row>
    <row r="128" spans="52:93" ht="20.25" customHeight="1">
      <c r="AZ128" s="88"/>
      <c r="BA128" s="89" t="s">
        <v>25</v>
      </c>
      <c r="BB128" s="137">
        <f>IF($AI$27="","",$AI$27)</f>
        <v>4</v>
      </c>
      <c r="BC128" s="84"/>
      <c r="BD128" s="84"/>
      <c r="BE128" s="84"/>
      <c r="BF128" s="84"/>
      <c r="BG128" s="84"/>
      <c r="BH128" s="84"/>
      <c r="BI128" s="177" t="s">
        <v>51</v>
      </c>
      <c r="BJ128" s="84"/>
      <c r="BK128" s="84"/>
      <c r="BL128" s="294"/>
      <c r="BM128" s="295"/>
      <c r="BN128" s="90"/>
      <c r="BO128" s="90"/>
      <c r="BP128" s="90"/>
      <c r="BQ128" s="91"/>
      <c r="BR128" s="84"/>
      <c r="BS128" s="84"/>
      <c r="BT128" s="84"/>
      <c r="BU128" s="84"/>
      <c r="BV128" s="84"/>
      <c r="BW128" s="84"/>
      <c r="BX128" s="84"/>
      <c r="BY128" s="84"/>
      <c r="BZ128" s="84"/>
      <c r="CA128" s="84"/>
      <c r="CB128" s="84"/>
      <c r="CC128" s="84"/>
      <c r="CD128" s="84"/>
      <c r="CE128" s="84"/>
      <c r="CF128" s="84"/>
      <c r="CG128" s="92"/>
      <c r="CI128" s="135">
        <f>$H$39</f>
        <v>27</v>
      </c>
      <c r="CJ128" s="135" t="str">
        <f t="shared" si="0"/>
        <v>Iniciados</v>
      </c>
      <c r="CK128" s="135" t="str">
        <f t="shared" si="1"/>
        <v>Pares</v>
      </c>
      <c r="CL128" s="135" t="str">
        <f t="shared" si="2"/>
        <v>Masculinos</v>
      </c>
      <c r="CM128" s="135" t="str">
        <f>"3º Jogo dos 1/4 final"</f>
        <v>3º Jogo dos 1/4 final</v>
      </c>
      <c r="CN128" s="135" t="str">
        <f>$C$38</f>
        <v>1º do grupo B</v>
      </c>
      <c r="CO128" s="135" t="str">
        <f>$C$40</f>
        <v>A4</v>
      </c>
    </row>
    <row r="129" spans="52:93" ht="7.5" customHeight="1">
      <c r="AZ129" s="88"/>
      <c r="BA129" s="84"/>
      <c r="BB129" s="84"/>
      <c r="BC129" s="84"/>
      <c r="BD129" s="84"/>
      <c r="BE129" s="84"/>
      <c r="BF129" s="84"/>
      <c r="BG129" s="84"/>
      <c r="BH129" s="84"/>
      <c r="BI129" s="84"/>
      <c r="BJ129" s="84"/>
      <c r="BK129" s="84"/>
      <c r="BL129" s="296"/>
      <c r="BM129" s="297"/>
      <c r="BN129" s="84"/>
      <c r="BO129" s="84"/>
      <c r="BP129" s="84"/>
      <c r="BQ129" s="84"/>
      <c r="BR129" s="84"/>
      <c r="BS129" s="84"/>
      <c r="BT129" s="84"/>
      <c r="BU129" s="84"/>
      <c r="BV129" s="84"/>
      <c r="BW129" s="84"/>
      <c r="BX129" s="84"/>
      <c r="BY129" s="84"/>
      <c r="BZ129" s="84"/>
      <c r="CA129" s="84"/>
      <c r="CB129" s="84"/>
      <c r="CC129" s="84"/>
      <c r="CD129" s="84"/>
      <c r="CE129" s="84"/>
      <c r="CF129" s="84"/>
      <c r="CG129" s="92"/>
      <c r="CI129" s="135">
        <f>$H$43</f>
        <v>28</v>
      </c>
      <c r="CJ129" s="135" t="str">
        <f t="shared" si="0"/>
        <v>Iniciados</v>
      </c>
      <c r="CK129" s="135" t="str">
        <f t="shared" si="1"/>
        <v>Pares</v>
      </c>
      <c r="CL129" s="135" t="str">
        <f t="shared" si="2"/>
        <v>Masculinos</v>
      </c>
      <c r="CM129" s="135" t="str">
        <f>"4º Jogo dos 1/4 final"</f>
        <v>4º Jogo dos 1/4 final</v>
      </c>
      <c r="CN129" s="135" t="str">
        <f>$C$42</f>
        <v>2º do grupo C</v>
      </c>
      <c r="CO129" s="135" t="str">
        <f>$C$44</f>
        <v>1º do grupo D</v>
      </c>
    </row>
    <row r="130" spans="52:93" ht="17.25" customHeight="1" thickBot="1">
      <c r="AZ130" s="88"/>
      <c r="BA130" s="368" t="s">
        <v>34</v>
      </c>
      <c r="BB130" s="368"/>
      <c r="BC130" s="93" t="s">
        <v>20</v>
      </c>
      <c r="BD130" s="93"/>
      <c r="BE130" s="93"/>
      <c r="BF130" s="93" t="s">
        <v>21</v>
      </c>
      <c r="BG130" s="93"/>
      <c r="BH130" s="93"/>
      <c r="BI130" s="93" t="s">
        <v>22</v>
      </c>
      <c r="BJ130" s="93"/>
      <c r="BK130" s="93"/>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92"/>
      <c r="CI130" s="135">
        <f>$O$33</f>
        <v>29</v>
      </c>
      <c r="CJ130" s="135" t="str">
        <f t="shared" si="0"/>
        <v>Iniciados</v>
      </c>
      <c r="CK130" s="135" t="str">
        <f t="shared" si="1"/>
        <v>Pares</v>
      </c>
      <c r="CL130" s="135" t="str">
        <f t="shared" si="2"/>
        <v>Masculinos</v>
      </c>
      <c r="CM130" s="135" t="str">
        <f>"1ª Meia Final"</f>
        <v>1ª Meia Final</v>
      </c>
      <c r="CN130" s="135" t="str">
        <f>$I$31</f>
        <v>1ª Meia Final-Jogador1</v>
      </c>
      <c r="CO130" s="135" t="str">
        <f>$I$35</f>
        <v>1ª Meia Final-Jogador2</v>
      </c>
    </row>
    <row r="131" spans="52:93" ht="19.5" customHeight="1">
      <c r="AZ131" s="88"/>
      <c r="BA131" s="350" t="str">
        <f>IF(BB128="","",VLOOKUP(BB128,$CI$102:$CO$145,6,FALSE))</f>
        <v>B2</v>
      </c>
      <c r="BB131" s="351"/>
      <c r="BC131" s="354"/>
      <c r="BD131" s="355"/>
      <c r="BE131" s="356"/>
      <c r="BF131" s="354"/>
      <c r="BG131" s="355"/>
      <c r="BH131" s="356"/>
      <c r="BI131" s="354"/>
      <c r="BJ131" s="355"/>
      <c r="BK131" s="356"/>
      <c r="BL131" s="72"/>
      <c r="BM131" s="72"/>
      <c r="BN131" s="360"/>
      <c r="BO131" s="360"/>
      <c r="BP131" s="360"/>
      <c r="BQ131" s="94"/>
      <c r="BR131" s="95"/>
      <c r="BS131" s="84"/>
      <c r="BT131" s="84"/>
      <c r="BU131" s="84"/>
      <c r="BV131" s="84"/>
      <c r="BW131" s="84"/>
      <c r="BX131" s="84"/>
      <c r="BY131" s="84"/>
      <c r="BZ131" s="84"/>
      <c r="CA131" s="84"/>
      <c r="CB131" s="84"/>
      <c r="CC131" s="84"/>
      <c r="CD131" s="84"/>
      <c r="CE131" s="84"/>
      <c r="CF131" s="84"/>
      <c r="CG131" s="92"/>
      <c r="CI131" s="135">
        <f>$O$41</f>
        <v>30</v>
      </c>
      <c r="CJ131" s="135" t="str">
        <f t="shared" si="0"/>
        <v>Iniciados</v>
      </c>
      <c r="CK131" s="135" t="str">
        <f t="shared" si="1"/>
        <v>Pares</v>
      </c>
      <c r="CL131" s="135" t="str">
        <f t="shared" si="2"/>
        <v>Masculinos</v>
      </c>
      <c r="CM131" s="135" t="str">
        <f>"2ª Meia Final"</f>
        <v>2ª Meia Final</v>
      </c>
      <c r="CN131" s="135" t="str">
        <f>$I$39</f>
        <v>2ª Meia Final-Jogador1</v>
      </c>
      <c r="CO131" s="135" t="str">
        <f>$I$43</f>
        <v>2ª Meia Final-Jogador2</v>
      </c>
    </row>
    <row r="132" spans="52:93" ht="19.5" customHeight="1" thickBot="1">
      <c r="AZ132" s="88"/>
      <c r="BA132" s="352"/>
      <c r="BB132" s="353"/>
      <c r="BC132" s="357"/>
      <c r="BD132" s="358"/>
      <c r="BE132" s="359"/>
      <c r="BF132" s="357"/>
      <c r="BG132" s="358"/>
      <c r="BH132" s="359"/>
      <c r="BI132" s="357"/>
      <c r="BJ132" s="358"/>
      <c r="BK132" s="359"/>
      <c r="BL132" s="72"/>
      <c r="BM132" s="72"/>
      <c r="BN132" s="360"/>
      <c r="BO132" s="360"/>
      <c r="BP132" s="360"/>
      <c r="BQ132" s="94"/>
      <c r="BR132" s="95"/>
      <c r="BS132" s="84"/>
      <c r="BT132" s="84"/>
      <c r="BU132" s="84"/>
      <c r="BV132" s="84"/>
      <c r="BW132" s="84"/>
      <c r="BX132" s="84"/>
      <c r="BY132" s="84"/>
      <c r="BZ132" s="84"/>
      <c r="CA132" s="84"/>
      <c r="CB132" s="84"/>
      <c r="CC132" s="84"/>
      <c r="CD132" s="84"/>
      <c r="CE132" s="84"/>
      <c r="CF132" s="84"/>
      <c r="CG132" s="92"/>
      <c r="CI132" s="135">
        <f>$V$37</f>
        <v>31</v>
      </c>
      <c r="CJ132" s="135" t="str">
        <f t="shared" si="0"/>
        <v>Iniciados</v>
      </c>
      <c r="CK132" s="135" t="str">
        <f t="shared" si="1"/>
        <v>Pares</v>
      </c>
      <c r="CL132" s="135" t="str">
        <f t="shared" si="2"/>
        <v>Masculinos</v>
      </c>
      <c r="CM132" s="135" t="str">
        <f>"Jogo 3º/4º lugar"</f>
        <v>Jogo 3º/4º lugar</v>
      </c>
      <c r="CN132" s="135" t="str">
        <f>$P$35</f>
        <v>Disputa 3º/4º  Jogador1</v>
      </c>
      <c r="CO132" s="135" t="str">
        <f>$P$39</f>
        <v>Disputa 3º/4º  Jogador2</v>
      </c>
    </row>
    <row r="133" spans="52:93" ht="19.5" customHeight="1">
      <c r="AZ133" s="88"/>
      <c r="BA133" s="350" t="str">
        <f>IF(BB128="","",VLOOKUP(BB128,$CI$102:$CO$145,7,FALSE))</f>
        <v>B3</v>
      </c>
      <c r="BB133" s="351"/>
      <c r="BC133" s="354"/>
      <c r="BD133" s="355"/>
      <c r="BE133" s="356"/>
      <c r="BF133" s="354"/>
      <c r="BG133" s="355"/>
      <c r="BH133" s="356"/>
      <c r="BI133" s="354"/>
      <c r="BJ133" s="355"/>
      <c r="BK133" s="356"/>
      <c r="BL133" s="72"/>
      <c r="BM133" s="72"/>
      <c r="BN133" s="360"/>
      <c r="BO133" s="360"/>
      <c r="BP133" s="360"/>
      <c r="BQ133" s="94"/>
      <c r="BR133" s="95"/>
      <c r="BS133" s="84"/>
      <c r="BT133" s="84"/>
      <c r="BU133" s="84"/>
      <c r="BV133" s="84"/>
      <c r="BW133" s="84"/>
      <c r="BX133" s="84"/>
      <c r="BY133" s="84"/>
      <c r="BZ133" s="84"/>
      <c r="CA133" s="84"/>
      <c r="CB133" s="84"/>
      <c r="CC133" s="84"/>
      <c r="CD133" s="84"/>
      <c r="CE133" s="84"/>
      <c r="CF133" s="84"/>
      <c r="CG133" s="92"/>
      <c r="CI133" s="136">
        <f>$W$37</f>
        <v>32</v>
      </c>
      <c r="CJ133" s="136" t="str">
        <f t="shared" si="0"/>
        <v>Iniciados</v>
      </c>
      <c r="CK133" s="136" t="str">
        <f t="shared" si="1"/>
        <v>Pares</v>
      </c>
      <c r="CL133" s="136" t="str">
        <f t="shared" si="2"/>
        <v>Masculinos</v>
      </c>
      <c r="CM133" s="136" t="str">
        <f>"Final"</f>
        <v>Final</v>
      </c>
      <c r="CN133" s="136" t="str">
        <f>$P$33</f>
        <v>Final-Jogador1</v>
      </c>
      <c r="CO133" s="136" t="str">
        <f>$P$41</f>
        <v>Final-Jogador2</v>
      </c>
    </row>
    <row r="134" spans="52:93" ht="19.5" customHeight="1" thickBot="1">
      <c r="AZ134" s="88"/>
      <c r="BA134" s="352"/>
      <c r="BB134" s="353"/>
      <c r="BC134" s="357"/>
      <c r="BD134" s="358"/>
      <c r="BE134" s="359"/>
      <c r="BF134" s="357"/>
      <c r="BG134" s="358"/>
      <c r="BH134" s="359"/>
      <c r="BI134" s="357"/>
      <c r="BJ134" s="358"/>
      <c r="BK134" s="359"/>
      <c r="BL134" s="72"/>
      <c r="BM134" s="72"/>
      <c r="BN134" s="360"/>
      <c r="BO134" s="360"/>
      <c r="BP134" s="360"/>
      <c r="BQ134" s="96"/>
      <c r="BR134" s="95"/>
      <c r="BS134" s="84"/>
      <c r="BT134" s="84"/>
      <c r="BU134" s="84"/>
      <c r="BV134" s="84"/>
      <c r="BW134" s="84"/>
      <c r="BX134" s="84"/>
      <c r="BY134" s="84"/>
      <c r="BZ134" s="84"/>
      <c r="CA134" s="84"/>
      <c r="CB134" s="84"/>
      <c r="CC134" s="84"/>
      <c r="CD134" s="84"/>
      <c r="CE134" s="84"/>
      <c r="CF134" s="84"/>
      <c r="CG134" s="92"/>
      <c r="CI134" s="135">
        <f>$O$52</f>
        <v>33</v>
      </c>
      <c r="CJ134" s="135" t="str">
        <f t="shared" si="0"/>
        <v>Iniciados</v>
      </c>
      <c r="CK134" s="135" t="str">
        <f t="shared" si="1"/>
        <v>Pares</v>
      </c>
      <c r="CL134" s="135" t="str">
        <f t="shared" si="2"/>
        <v>Masculinos</v>
      </c>
      <c r="CM134" s="135" t="str">
        <f>"Disp 5º-8º - Jogo1"</f>
        <v>Disp 5º-8º - Jogo1</v>
      </c>
      <c r="CN134" s="135" t="str">
        <f>$I$50</f>
        <v>Vencido do jogo 25</v>
      </c>
      <c r="CO134" s="135" t="str">
        <f>$I$54</f>
        <v>Vencido do jogo 26</v>
      </c>
    </row>
    <row r="135" spans="52:93" ht="22.5" customHeight="1" thickBot="1">
      <c r="AZ135" s="88"/>
      <c r="BA135" s="97" t="s">
        <v>23</v>
      </c>
      <c r="BB135" s="361"/>
      <c r="BC135" s="362"/>
      <c r="BD135" s="362"/>
      <c r="BE135" s="362"/>
      <c r="BF135" s="363"/>
      <c r="BG135" s="363"/>
      <c r="BH135" s="363"/>
      <c r="BI135" s="363"/>
      <c r="BJ135" s="363"/>
      <c r="BK135" s="363"/>
      <c r="BL135" s="364"/>
      <c r="BM135" s="365"/>
      <c r="BN135" s="365"/>
      <c r="BO135" s="365"/>
      <c r="BP135" s="365"/>
      <c r="BQ135" s="95"/>
      <c r="BR135" s="95"/>
      <c r="BS135" s="84"/>
      <c r="BT135" s="84"/>
      <c r="BU135" s="84"/>
      <c r="BV135" s="84"/>
      <c r="BW135" s="84"/>
      <c r="BX135" s="84"/>
      <c r="BY135" s="84"/>
      <c r="BZ135" s="84"/>
      <c r="CA135" s="84"/>
      <c r="CB135" s="84"/>
      <c r="CC135" s="84"/>
      <c r="CD135" s="84"/>
      <c r="CE135" s="84"/>
      <c r="CF135" s="84"/>
      <c r="CG135" s="92"/>
      <c r="CI135" s="135">
        <f>$O$60</f>
        <v>34</v>
      </c>
      <c r="CJ135" s="135" t="str">
        <f t="shared" si="0"/>
        <v>Iniciados</v>
      </c>
      <c r="CK135" s="135" t="str">
        <f t="shared" si="1"/>
        <v>Pares</v>
      </c>
      <c r="CL135" s="135" t="str">
        <f t="shared" si="2"/>
        <v>Masculinos</v>
      </c>
      <c r="CM135" s="135" t="str">
        <f>"Disp 5º-8º - Jogo2"</f>
        <v>Disp 5º-8º - Jogo2</v>
      </c>
      <c r="CN135" s="135" t="str">
        <f>$I$58</f>
        <v>Vencido do jogo 27</v>
      </c>
      <c r="CO135" s="135" t="str">
        <f>$I$62</f>
        <v>Vencido do jogo 28</v>
      </c>
    </row>
    <row r="136" spans="52:93" ht="18.75" customHeight="1">
      <c r="AZ136" s="88"/>
      <c r="BA136" s="73" t="s">
        <v>34</v>
      </c>
      <c r="BB136" s="73"/>
      <c r="BC136" s="73"/>
      <c r="BD136" s="73"/>
      <c r="BE136" s="73"/>
      <c r="BF136" s="73"/>
      <c r="BG136" s="73"/>
      <c r="BH136" s="93"/>
      <c r="BI136" s="93"/>
      <c r="BJ136" s="93"/>
      <c r="BK136" s="93"/>
      <c r="BL136" s="93"/>
      <c r="BM136" s="93"/>
      <c r="BN136" s="93"/>
      <c r="BO136" s="93"/>
      <c r="BP136" s="93"/>
      <c r="BQ136" s="93"/>
      <c r="BR136" s="84"/>
      <c r="BS136" s="84"/>
      <c r="BT136" s="84"/>
      <c r="BU136" s="84"/>
      <c r="BV136" s="84"/>
      <c r="BW136" s="84"/>
      <c r="BX136" s="84"/>
      <c r="BY136" s="84"/>
      <c r="BZ136" s="84"/>
      <c r="CA136" s="84"/>
      <c r="CB136" s="84"/>
      <c r="CC136" s="84"/>
      <c r="CD136" s="84"/>
      <c r="CE136" s="84"/>
      <c r="CF136" s="84"/>
      <c r="CG136" s="92"/>
      <c r="CI136" s="135">
        <f>$V$56</f>
        <v>35</v>
      </c>
      <c r="CJ136" s="135" t="str">
        <f t="shared" si="0"/>
        <v>Iniciados</v>
      </c>
      <c r="CK136" s="135" t="str">
        <f t="shared" si="1"/>
        <v>Pares</v>
      </c>
      <c r="CL136" s="135" t="str">
        <f t="shared" si="2"/>
        <v>Masculinos</v>
      </c>
      <c r="CM136" s="135" t="str">
        <f>"Jogo 7º/8º lugar"</f>
        <v>Jogo 7º/8º lugar</v>
      </c>
      <c r="CN136" s="135" t="str">
        <f>$P$54</f>
        <v>Disputa 7º/8º  Jogador1</v>
      </c>
      <c r="CO136" s="135" t="str">
        <f>$P$58</f>
        <v>Disputa 7º/8º  Jogador2</v>
      </c>
    </row>
    <row r="137" spans="52:93" ht="15" customHeight="1">
      <c r="AZ137" s="88"/>
      <c r="BA137" s="346" t="str">
        <f>IF($BA$131="","",$BA$131)</f>
        <v>B2</v>
      </c>
      <c r="BB137" s="347"/>
      <c r="BC137" s="74"/>
      <c r="BD137" s="75"/>
      <c r="BE137" s="75"/>
      <c r="BF137" s="75"/>
      <c r="BG137" s="75"/>
      <c r="BH137" s="75"/>
      <c r="BI137" s="75"/>
      <c r="BJ137" s="75"/>
      <c r="BK137" s="75"/>
      <c r="BL137" s="76"/>
      <c r="BM137" s="178"/>
      <c r="BN137" s="180"/>
      <c r="BO137" s="77"/>
      <c r="BP137" s="77"/>
      <c r="BQ137" s="77"/>
      <c r="BR137" s="78"/>
      <c r="BS137" s="75"/>
      <c r="BT137" s="75"/>
      <c r="BU137" s="75"/>
      <c r="BV137" s="75"/>
      <c r="BW137" s="178"/>
      <c r="BX137" s="76"/>
      <c r="BY137" s="75"/>
      <c r="BZ137" s="75"/>
      <c r="CA137" s="75"/>
      <c r="CB137" s="75"/>
      <c r="CC137" s="75"/>
      <c r="CD137" s="75"/>
      <c r="CE137" s="75"/>
      <c r="CF137" s="75"/>
      <c r="CG137" s="92"/>
      <c r="CI137" s="136">
        <f>$W$56</f>
        <v>36</v>
      </c>
      <c r="CJ137" s="136" t="str">
        <f t="shared" si="0"/>
        <v>Iniciados</v>
      </c>
      <c r="CK137" s="136" t="str">
        <f t="shared" si="1"/>
        <v>Pares</v>
      </c>
      <c r="CL137" s="136" t="str">
        <f t="shared" si="2"/>
        <v>Masculinos</v>
      </c>
      <c r="CM137" s="136" t="str">
        <f>"Jogo 5º/6º lugar"</f>
        <v>Jogo 5º/6º lugar</v>
      </c>
      <c r="CN137" s="136" t="str">
        <f>$P$52</f>
        <v>Disputa 5º/6º Jogador1</v>
      </c>
      <c r="CO137" s="136" t="str">
        <f>$P$60</f>
        <v>Disputa 5º/6º Jogador2</v>
      </c>
    </row>
    <row r="138" spans="52:93" ht="15" customHeight="1">
      <c r="AZ138" s="88"/>
      <c r="BA138" s="348"/>
      <c r="BB138" s="349"/>
      <c r="BC138" s="79"/>
      <c r="BD138" s="80"/>
      <c r="BE138" s="80"/>
      <c r="BF138" s="80"/>
      <c r="BG138" s="80"/>
      <c r="BH138" s="80"/>
      <c r="BI138" s="80"/>
      <c r="BJ138" s="80"/>
      <c r="BK138" s="80"/>
      <c r="BL138" s="81"/>
      <c r="BM138" s="179"/>
      <c r="BN138" s="181"/>
      <c r="BO138" s="82"/>
      <c r="BP138" s="82"/>
      <c r="BQ138" s="82"/>
      <c r="BR138" s="83"/>
      <c r="BS138" s="80"/>
      <c r="BT138" s="80"/>
      <c r="BU138" s="80"/>
      <c r="BV138" s="80"/>
      <c r="BW138" s="179"/>
      <c r="BX138" s="81"/>
      <c r="BY138" s="80"/>
      <c r="BZ138" s="80"/>
      <c r="CA138" s="80"/>
      <c r="CB138" s="80"/>
      <c r="CC138" s="80"/>
      <c r="CD138" s="80"/>
      <c r="CE138" s="80"/>
      <c r="CF138" s="80"/>
      <c r="CG138" s="98" t="s">
        <v>1</v>
      </c>
      <c r="CI138" s="136">
        <f>$O$70</f>
        <v>37</v>
      </c>
      <c r="CJ138" s="136" t="str">
        <f t="shared" si="0"/>
        <v>Iniciados</v>
      </c>
      <c r="CK138" s="136" t="str">
        <f t="shared" si="1"/>
        <v>Pares</v>
      </c>
      <c r="CL138" s="136" t="str">
        <f t="shared" si="2"/>
        <v>Masculinos</v>
      </c>
      <c r="CM138" s="136" t="str">
        <f>"Disp 9º-12º - Jogo1"</f>
        <v>Disp 9º-12º - Jogo1</v>
      </c>
      <c r="CN138" s="136" t="str">
        <f>$I$68</f>
        <v>3º  do Grupo A</v>
      </c>
      <c r="CO138" s="136" t="str">
        <f>$I$72</f>
        <v>3º  do Grupo B</v>
      </c>
    </row>
    <row r="139" spans="52:93" ht="15" customHeight="1">
      <c r="AZ139" s="88"/>
      <c r="BA139" s="346" t="str">
        <f>IF($BA$133="","",$BA$133)</f>
        <v>B3</v>
      </c>
      <c r="BB139" s="347"/>
      <c r="BC139" s="74"/>
      <c r="BD139" s="75"/>
      <c r="BE139" s="75"/>
      <c r="BF139" s="75"/>
      <c r="BG139" s="75"/>
      <c r="BH139" s="75"/>
      <c r="BI139" s="75"/>
      <c r="BJ139" s="75"/>
      <c r="BK139" s="75"/>
      <c r="BL139" s="76"/>
      <c r="BM139" s="178"/>
      <c r="BN139" s="180"/>
      <c r="BO139" s="77"/>
      <c r="BP139" s="77"/>
      <c r="BQ139" s="77"/>
      <c r="BR139" s="78"/>
      <c r="BS139" s="75"/>
      <c r="BT139" s="75"/>
      <c r="BU139" s="75"/>
      <c r="BV139" s="75"/>
      <c r="BW139" s="178"/>
      <c r="BX139" s="76"/>
      <c r="BY139" s="75"/>
      <c r="BZ139" s="75"/>
      <c r="CA139" s="75"/>
      <c r="CB139" s="75"/>
      <c r="CC139" s="75"/>
      <c r="CD139" s="75"/>
      <c r="CE139" s="75"/>
      <c r="CF139" s="75"/>
      <c r="CG139" s="99"/>
      <c r="CI139" s="136">
        <f>$O$78</f>
        <v>38</v>
      </c>
      <c r="CJ139" s="136" t="str">
        <f t="shared" si="0"/>
        <v>Iniciados</v>
      </c>
      <c r="CK139" s="136" t="str">
        <f t="shared" si="1"/>
        <v>Pares</v>
      </c>
      <c r="CL139" s="136" t="str">
        <f t="shared" si="2"/>
        <v>Masculinos</v>
      </c>
      <c r="CM139" s="136" t="str">
        <f>"Disp 9º-12º - Jogo2"</f>
        <v>Disp 9º-12º - Jogo2</v>
      </c>
      <c r="CN139" s="136" t="str">
        <f>$I$76</f>
        <v>3º  do Grupo C</v>
      </c>
      <c r="CO139" s="136" t="str">
        <f>$I$80</f>
        <v>3º  do Grupo D</v>
      </c>
    </row>
    <row r="140" spans="52:93" ht="15" customHeight="1">
      <c r="AZ140" s="88"/>
      <c r="BA140" s="348"/>
      <c r="BB140" s="349"/>
      <c r="BC140" s="79"/>
      <c r="BD140" s="80"/>
      <c r="BE140" s="80"/>
      <c r="BF140" s="80"/>
      <c r="BG140" s="80"/>
      <c r="BH140" s="80"/>
      <c r="BI140" s="80"/>
      <c r="BJ140" s="80"/>
      <c r="BK140" s="80"/>
      <c r="BL140" s="81"/>
      <c r="BM140" s="179"/>
      <c r="BN140" s="181"/>
      <c r="BO140" s="82"/>
      <c r="BP140" s="82"/>
      <c r="BQ140" s="82"/>
      <c r="BR140" s="83"/>
      <c r="BS140" s="80"/>
      <c r="BT140" s="80"/>
      <c r="BU140" s="80"/>
      <c r="BV140" s="80"/>
      <c r="BW140" s="179"/>
      <c r="BX140" s="81"/>
      <c r="BY140" s="80"/>
      <c r="BZ140" s="80"/>
      <c r="CA140" s="80"/>
      <c r="CB140" s="80"/>
      <c r="CC140" s="80"/>
      <c r="CD140" s="80"/>
      <c r="CE140" s="80"/>
      <c r="CF140" s="80"/>
      <c r="CG140" s="92"/>
      <c r="CI140" s="136">
        <f>$V$74</f>
        <v>39</v>
      </c>
      <c r="CJ140" s="136" t="str">
        <f t="shared" si="0"/>
        <v>Iniciados</v>
      </c>
      <c r="CK140" s="136" t="str">
        <f t="shared" si="1"/>
        <v>Pares</v>
      </c>
      <c r="CL140" s="136" t="str">
        <f t="shared" si="2"/>
        <v>Masculinos</v>
      </c>
      <c r="CM140" s="136" t="str">
        <f>"Jogo 11º/12º lugar"</f>
        <v>Jogo 11º/12º lugar</v>
      </c>
      <c r="CN140" s="136" t="str">
        <f>$P$72</f>
        <v>Disputa 11º/12º  Jogador1</v>
      </c>
      <c r="CO140" s="136" t="str">
        <f>$P$76</f>
        <v>Disputa 11º/12º  Jogador2</v>
      </c>
    </row>
    <row r="141" spans="52:93" ht="12.75" customHeight="1">
      <c r="AZ141" s="88"/>
      <c r="BA141" s="84"/>
      <c r="BB141" s="84"/>
      <c r="BC141" s="100">
        <v>1</v>
      </c>
      <c r="BD141" s="100">
        <v>2</v>
      </c>
      <c r="BE141" s="100">
        <v>3</v>
      </c>
      <c r="BF141" s="100">
        <v>4</v>
      </c>
      <c r="BG141" s="100">
        <v>5</v>
      </c>
      <c r="BH141" s="100">
        <v>6</v>
      </c>
      <c r="BI141" s="100">
        <v>7</v>
      </c>
      <c r="BJ141" s="100">
        <v>8</v>
      </c>
      <c r="BK141" s="100">
        <v>9</v>
      </c>
      <c r="BL141" s="100">
        <v>10</v>
      </c>
      <c r="BM141" s="100">
        <v>11</v>
      </c>
      <c r="BN141" s="100">
        <v>12</v>
      </c>
      <c r="BO141" s="100">
        <v>13</v>
      </c>
      <c r="BP141" s="100">
        <v>14</v>
      </c>
      <c r="BQ141" s="100">
        <v>15</v>
      </c>
      <c r="BR141" s="100">
        <v>16</v>
      </c>
      <c r="BS141" s="100">
        <v>17</v>
      </c>
      <c r="BT141" s="100">
        <v>18</v>
      </c>
      <c r="BU141" s="100">
        <v>19</v>
      </c>
      <c r="BV141" s="100">
        <v>20</v>
      </c>
      <c r="BW141" s="100">
        <v>21</v>
      </c>
      <c r="BX141" s="100">
        <v>22</v>
      </c>
      <c r="BY141" s="100">
        <v>23</v>
      </c>
      <c r="BZ141" s="100">
        <v>24</v>
      </c>
      <c r="CA141" s="100">
        <v>25</v>
      </c>
      <c r="CB141" s="100">
        <v>26</v>
      </c>
      <c r="CC141" s="100">
        <v>27</v>
      </c>
      <c r="CD141" s="100">
        <v>28</v>
      </c>
      <c r="CE141" s="100">
        <v>29</v>
      </c>
      <c r="CF141" s="100">
        <v>30</v>
      </c>
      <c r="CG141" s="101"/>
      <c r="CI141" s="136">
        <f>$W$74</f>
        <v>40</v>
      </c>
      <c r="CJ141" s="136" t="str">
        <f t="shared" si="0"/>
        <v>Iniciados</v>
      </c>
      <c r="CK141" s="136" t="str">
        <f t="shared" si="1"/>
        <v>Pares</v>
      </c>
      <c r="CL141" s="136" t="str">
        <f t="shared" si="2"/>
        <v>Masculinos</v>
      </c>
      <c r="CM141" s="136" t="str">
        <f>"Jogo 9º/10º lugar"</f>
        <v>Jogo 9º/10º lugar</v>
      </c>
      <c r="CN141" s="136" t="str">
        <f>$P$70</f>
        <v>Disputa 9º/10º Jogador1</v>
      </c>
      <c r="CO141" s="136" t="str">
        <f>$P$78</f>
        <v>Disputa 9º/10º Jogador2</v>
      </c>
    </row>
    <row r="142" spans="52:93" ht="15" customHeight="1">
      <c r="AZ142" s="88"/>
      <c r="BA142" s="346" t="str">
        <f>IF($BA$131="","",$BA$131)</f>
        <v>B2</v>
      </c>
      <c r="BB142" s="347"/>
      <c r="BC142" s="74"/>
      <c r="BD142" s="75"/>
      <c r="BE142" s="75"/>
      <c r="BF142" s="75"/>
      <c r="BG142" s="75"/>
      <c r="BH142" s="75"/>
      <c r="BI142" s="75"/>
      <c r="BJ142" s="75"/>
      <c r="BK142" s="75"/>
      <c r="BL142" s="76"/>
      <c r="BM142" s="178"/>
      <c r="BN142" s="180"/>
      <c r="BO142" s="77"/>
      <c r="BP142" s="77"/>
      <c r="BQ142" s="77"/>
      <c r="BR142" s="78"/>
      <c r="BS142" s="75"/>
      <c r="BT142" s="75"/>
      <c r="BU142" s="75"/>
      <c r="BV142" s="75"/>
      <c r="BW142" s="178"/>
      <c r="BX142" s="76"/>
      <c r="BY142" s="75"/>
      <c r="BZ142" s="75"/>
      <c r="CA142" s="75"/>
      <c r="CB142" s="75"/>
      <c r="CC142" s="75"/>
      <c r="CD142" s="75"/>
      <c r="CE142" s="75"/>
      <c r="CF142" s="75"/>
      <c r="CG142" s="92"/>
      <c r="CI142" s="136">
        <f>$O$88</f>
        <v>41</v>
      </c>
      <c r="CJ142" s="136" t="str">
        <f t="shared" si="0"/>
        <v>Iniciados</v>
      </c>
      <c r="CK142" s="136" t="str">
        <f t="shared" si="1"/>
        <v>Pares</v>
      </c>
      <c r="CL142" s="136" t="str">
        <f t="shared" si="2"/>
        <v>Masculinos</v>
      </c>
      <c r="CM142" s="136" t="str">
        <f>"Disp 13º-16º - Jogo1"</f>
        <v>Disp 13º-16º - Jogo1</v>
      </c>
      <c r="CN142" s="136" t="str">
        <f>$I$86</f>
        <v>4º  do Grupo A</v>
      </c>
      <c r="CO142" s="136" t="str">
        <f>$I$90</f>
        <v>4º  do Grupo B</v>
      </c>
    </row>
    <row r="143" spans="52:93" ht="15" customHeight="1">
      <c r="AZ143" s="88"/>
      <c r="BA143" s="348"/>
      <c r="BB143" s="349"/>
      <c r="BC143" s="79"/>
      <c r="BD143" s="80"/>
      <c r="BE143" s="80"/>
      <c r="BF143" s="80"/>
      <c r="BG143" s="80"/>
      <c r="BH143" s="80"/>
      <c r="BI143" s="80"/>
      <c r="BJ143" s="80"/>
      <c r="BK143" s="80"/>
      <c r="BL143" s="81"/>
      <c r="BM143" s="179"/>
      <c r="BN143" s="181"/>
      <c r="BO143" s="82"/>
      <c r="BP143" s="82"/>
      <c r="BQ143" s="82"/>
      <c r="BR143" s="83"/>
      <c r="BS143" s="80"/>
      <c r="BT143" s="80"/>
      <c r="BU143" s="80"/>
      <c r="BV143" s="80"/>
      <c r="BW143" s="179"/>
      <c r="BX143" s="81"/>
      <c r="BY143" s="80"/>
      <c r="BZ143" s="80"/>
      <c r="CA143" s="80"/>
      <c r="CB143" s="80"/>
      <c r="CC143" s="80"/>
      <c r="CD143" s="80"/>
      <c r="CE143" s="80"/>
      <c r="CF143" s="80"/>
      <c r="CG143" s="92"/>
      <c r="CI143" s="136">
        <f>$O$96</f>
        <v>42</v>
      </c>
      <c r="CJ143" s="136" t="str">
        <f t="shared" si="0"/>
        <v>Iniciados</v>
      </c>
      <c r="CK143" s="136" t="str">
        <f t="shared" si="1"/>
        <v>Pares</v>
      </c>
      <c r="CL143" s="136" t="str">
        <f t="shared" si="2"/>
        <v>Masculinos</v>
      </c>
      <c r="CM143" s="136" t="str">
        <f>"Disp 13º-16º - Jogo2"</f>
        <v>Disp 13º-16º - Jogo2</v>
      </c>
      <c r="CN143" s="136" t="str">
        <f>$I$94</f>
        <v>4º  do Grupo C</v>
      </c>
      <c r="CO143" s="136" t="str">
        <f>$I$98</f>
        <v>4º  do Grupo D</v>
      </c>
    </row>
    <row r="144" spans="52:93" ht="15" customHeight="1">
      <c r="AZ144" s="88"/>
      <c r="BA144" s="346" t="str">
        <f>IF($BA$133="","",$BA$133)</f>
        <v>B3</v>
      </c>
      <c r="BB144" s="347"/>
      <c r="BC144" s="74"/>
      <c r="BD144" s="75"/>
      <c r="BE144" s="75"/>
      <c r="BF144" s="75"/>
      <c r="BG144" s="75"/>
      <c r="BH144" s="75"/>
      <c r="BI144" s="75"/>
      <c r="BJ144" s="75"/>
      <c r="BK144" s="75"/>
      <c r="BL144" s="76"/>
      <c r="BM144" s="178"/>
      <c r="BN144" s="180"/>
      <c r="BO144" s="77"/>
      <c r="BP144" s="77"/>
      <c r="BQ144" s="77"/>
      <c r="BR144" s="78"/>
      <c r="BS144" s="75"/>
      <c r="BT144" s="75"/>
      <c r="BU144" s="75"/>
      <c r="BV144" s="75"/>
      <c r="BW144" s="178"/>
      <c r="BX144" s="76"/>
      <c r="BY144" s="75"/>
      <c r="BZ144" s="75"/>
      <c r="CA144" s="75"/>
      <c r="CB144" s="75"/>
      <c r="CC144" s="75"/>
      <c r="CD144" s="75"/>
      <c r="CE144" s="75"/>
      <c r="CF144" s="75"/>
      <c r="CG144" s="98" t="s">
        <v>2</v>
      </c>
      <c r="CI144" s="136">
        <f>$V$92</f>
        <v>43</v>
      </c>
      <c r="CJ144" s="136" t="str">
        <f t="shared" si="0"/>
        <v>Iniciados</v>
      </c>
      <c r="CK144" s="136" t="str">
        <f t="shared" si="1"/>
        <v>Pares</v>
      </c>
      <c r="CL144" s="136" t="str">
        <f t="shared" si="2"/>
        <v>Masculinos</v>
      </c>
      <c r="CM144" s="136" t="str">
        <f>"Jogo 15º/16º lugar"</f>
        <v>Jogo 15º/16º lugar</v>
      </c>
      <c r="CN144" s="136" t="str">
        <f>$P$90</f>
        <v>Disputa 15º/16º  Jogador1</v>
      </c>
      <c r="CO144" s="136" t="str">
        <f>$P$94</f>
        <v>Disputa 15º/16º  Jogador2</v>
      </c>
    </row>
    <row r="145" spans="52:93" ht="15" customHeight="1">
      <c r="AZ145" s="88"/>
      <c r="BA145" s="348"/>
      <c r="BB145" s="349"/>
      <c r="BC145" s="79"/>
      <c r="BD145" s="80"/>
      <c r="BE145" s="80"/>
      <c r="BF145" s="80"/>
      <c r="BG145" s="80"/>
      <c r="BH145" s="80"/>
      <c r="BI145" s="80"/>
      <c r="BJ145" s="80"/>
      <c r="BK145" s="80"/>
      <c r="BL145" s="81"/>
      <c r="BM145" s="179"/>
      <c r="BN145" s="181"/>
      <c r="BO145" s="82"/>
      <c r="BP145" s="82"/>
      <c r="BQ145" s="82"/>
      <c r="BR145" s="83"/>
      <c r="BS145" s="80"/>
      <c r="BT145" s="80"/>
      <c r="BU145" s="80"/>
      <c r="BV145" s="80"/>
      <c r="BW145" s="179"/>
      <c r="BX145" s="81"/>
      <c r="BY145" s="80"/>
      <c r="BZ145" s="80"/>
      <c r="CA145" s="80"/>
      <c r="CB145" s="80"/>
      <c r="CC145" s="80"/>
      <c r="CD145" s="80"/>
      <c r="CE145" s="80"/>
      <c r="CF145" s="80"/>
      <c r="CG145" s="92"/>
      <c r="CI145" s="136">
        <f>$W$92</f>
        <v>44</v>
      </c>
      <c r="CJ145" s="136" t="str">
        <f t="shared" si="0"/>
        <v>Iniciados</v>
      </c>
      <c r="CK145" s="136" t="str">
        <f t="shared" si="1"/>
        <v>Pares</v>
      </c>
      <c r="CL145" s="136" t="str">
        <f t="shared" si="2"/>
        <v>Masculinos</v>
      </c>
      <c r="CM145" s="136" t="str">
        <f>"Jogo 13º/14º lugar"</f>
        <v>Jogo 13º/14º lugar</v>
      </c>
      <c r="CN145" s="136" t="str">
        <f>$P$88</f>
        <v>Disputa 13º/14º Jogador1</v>
      </c>
      <c r="CO145" s="136" t="str">
        <f>$P$96</f>
        <v>Disputa 13º/14º Jogador2</v>
      </c>
    </row>
    <row r="146" spans="52:93" ht="12.75" customHeight="1">
      <c r="AZ146" s="88"/>
      <c r="BA146" s="84"/>
      <c r="BB146" s="84"/>
      <c r="BC146" s="100">
        <v>1</v>
      </c>
      <c r="BD146" s="100">
        <v>2</v>
      </c>
      <c r="BE146" s="100">
        <v>3</v>
      </c>
      <c r="BF146" s="100">
        <v>4</v>
      </c>
      <c r="BG146" s="100">
        <v>5</v>
      </c>
      <c r="BH146" s="100">
        <v>6</v>
      </c>
      <c r="BI146" s="100">
        <v>7</v>
      </c>
      <c r="BJ146" s="100">
        <v>8</v>
      </c>
      <c r="BK146" s="100">
        <v>9</v>
      </c>
      <c r="BL146" s="100">
        <v>10</v>
      </c>
      <c r="BM146" s="100">
        <v>11</v>
      </c>
      <c r="BN146" s="100">
        <v>12</v>
      </c>
      <c r="BO146" s="100">
        <v>13</v>
      </c>
      <c r="BP146" s="100">
        <v>14</v>
      </c>
      <c r="BQ146" s="100">
        <v>15</v>
      </c>
      <c r="BR146" s="100">
        <v>16</v>
      </c>
      <c r="BS146" s="100">
        <v>17</v>
      </c>
      <c r="BT146" s="100">
        <v>18</v>
      </c>
      <c r="BU146" s="100">
        <v>19</v>
      </c>
      <c r="BV146" s="100">
        <v>20</v>
      </c>
      <c r="BW146" s="100">
        <v>21</v>
      </c>
      <c r="BX146" s="100">
        <v>22</v>
      </c>
      <c r="BY146" s="100">
        <v>23</v>
      </c>
      <c r="BZ146" s="100">
        <v>24</v>
      </c>
      <c r="CA146" s="100">
        <v>25</v>
      </c>
      <c r="CB146" s="100">
        <v>26</v>
      </c>
      <c r="CC146" s="100">
        <v>27</v>
      </c>
      <c r="CD146" s="100">
        <v>28</v>
      </c>
      <c r="CE146" s="100">
        <v>29</v>
      </c>
      <c r="CF146" s="100">
        <v>30</v>
      </c>
      <c r="CG146" s="101"/>
    </row>
    <row r="147" spans="52:93" ht="15" customHeight="1">
      <c r="AZ147" s="88"/>
      <c r="BA147" s="346" t="str">
        <f>IF($BA$131="","",$BA$131)</f>
        <v>B2</v>
      </c>
      <c r="BB147" s="347"/>
      <c r="BC147" s="74"/>
      <c r="BD147" s="75"/>
      <c r="BE147" s="75"/>
      <c r="BF147" s="75"/>
      <c r="BG147" s="75"/>
      <c r="BH147" s="75"/>
      <c r="BI147" s="75"/>
      <c r="BJ147" s="75"/>
      <c r="BK147" s="75"/>
      <c r="BL147" s="76"/>
      <c r="BM147" s="178"/>
      <c r="BN147" s="180"/>
      <c r="BO147" s="77"/>
      <c r="BP147" s="77"/>
      <c r="BQ147" s="77"/>
      <c r="BR147" s="78"/>
      <c r="BS147" s="75"/>
      <c r="BT147" s="75"/>
      <c r="BU147" s="75"/>
      <c r="BV147" s="75"/>
      <c r="BW147" s="178"/>
      <c r="BX147" s="76"/>
      <c r="BY147" s="75"/>
      <c r="BZ147" s="75"/>
      <c r="CA147" s="75"/>
      <c r="CB147" s="75"/>
      <c r="CC147" s="75"/>
      <c r="CD147" s="75"/>
      <c r="CE147" s="75"/>
      <c r="CF147" s="75"/>
      <c r="CG147" s="92"/>
    </row>
    <row r="148" spans="52:93" ht="15" customHeight="1">
      <c r="AZ148" s="88"/>
      <c r="BA148" s="348"/>
      <c r="BB148" s="349"/>
      <c r="BC148" s="79"/>
      <c r="BD148" s="80"/>
      <c r="BE148" s="80"/>
      <c r="BF148" s="80"/>
      <c r="BG148" s="80"/>
      <c r="BH148" s="80"/>
      <c r="BI148" s="80"/>
      <c r="BJ148" s="80"/>
      <c r="BK148" s="80"/>
      <c r="BL148" s="81"/>
      <c r="BM148" s="179"/>
      <c r="BN148" s="181"/>
      <c r="BO148" s="82"/>
      <c r="BP148" s="82"/>
      <c r="BQ148" s="82"/>
      <c r="BR148" s="83"/>
      <c r="BS148" s="80"/>
      <c r="BT148" s="80"/>
      <c r="BU148" s="80"/>
      <c r="BV148" s="80"/>
      <c r="BW148" s="179"/>
      <c r="BX148" s="81"/>
      <c r="BY148" s="80"/>
      <c r="BZ148" s="80"/>
      <c r="CA148" s="80"/>
      <c r="CB148" s="80"/>
      <c r="CC148" s="80"/>
      <c r="CD148" s="80"/>
      <c r="CE148" s="80"/>
      <c r="CF148" s="80"/>
      <c r="CG148" s="92"/>
    </row>
    <row r="149" spans="52:93" ht="15" customHeight="1">
      <c r="AZ149" s="88"/>
      <c r="BA149" s="346" t="str">
        <f>IF($BA$133="","",$BA$133)</f>
        <v>B3</v>
      </c>
      <c r="BB149" s="347"/>
      <c r="BC149" s="74"/>
      <c r="BD149" s="75"/>
      <c r="BE149" s="75"/>
      <c r="BF149" s="75"/>
      <c r="BG149" s="75"/>
      <c r="BH149" s="75"/>
      <c r="BI149" s="75"/>
      <c r="BJ149" s="75"/>
      <c r="BK149" s="75"/>
      <c r="BL149" s="76"/>
      <c r="BM149" s="178"/>
      <c r="BN149" s="180"/>
      <c r="BO149" s="77"/>
      <c r="BP149" s="77"/>
      <c r="BQ149" s="77"/>
      <c r="BR149" s="78"/>
      <c r="BS149" s="75"/>
      <c r="BT149" s="75"/>
      <c r="BU149" s="75"/>
      <c r="BV149" s="75"/>
      <c r="BW149" s="178"/>
      <c r="BX149" s="76"/>
      <c r="BY149" s="75"/>
      <c r="BZ149" s="75"/>
      <c r="CA149" s="75"/>
      <c r="CB149" s="75"/>
      <c r="CC149" s="75"/>
      <c r="CD149" s="75"/>
      <c r="CE149" s="75"/>
      <c r="CF149" s="75"/>
      <c r="CG149" s="98" t="s">
        <v>3</v>
      </c>
    </row>
    <row r="150" spans="52:93" ht="15" customHeight="1">
      <c r="AZ150" s="88"/>
      <c r="BA150" s="348"/>
      <c r="BB150" s="349"/>
      <c r="BC150" s="79"/>
      <c r="BD150" s="80"/>
      <c r="BE150" s="80"/>
      <c r="BF150" s="80"/>
      <c r="BG150" s="80"/>
      <c r="BH150" s="80"/>
      <c r="BI150" s="80"/>
      <c r="BJ150" s="80"/>
      <c r="BK150" s="80"/>
      <c r="BL150" s="81"/>
      <c r="BM150" s="179"/>
      <c r="BN150" s="181"/>
      <c r="BO150" s="82"/>
      <c r="BP150" s="82"/>
      <c r="BQ150" s="82"/>
      <c r="BR150" s="83"/>
      <c r="BS150" s="80"/>
      <c r="BT150" s="80"/>
      <c r="BU150" s="80"/>
      <c r="BV150" s="80"/>
      <c r="BW150" s="179"/>
      <c r="BX150" s="81"/>
      <c r="BY150" s="80"/>
      <c r="BZ150" s="80"/>
      <c r="CA150" s="80"/>
      <c r="CB150" s="80"/>
      <c r="CC150" s="80"/>
      <c r="CD150" s="80"/>
      <c r="CE150" s="80"/>
      <c r="CF150" s="80"/>
      <c r="CG150" s="92"/>
    </row>
    <row r="151" spans="52:93" ht="44.25" customHeight="1">
      <c r="AZ151" s="102"/>
      <c r="BA151" s="103" t="s">
        <v>35</v>
      </c>
      <c r="BB151" s="104"/>
      <c r="BC151" s="105"/>
      <c r="BD151" s="105"/>
      <c r="BE151" s="105"/>
      <c r="BF151" s="105"/>
      <c r="BG151" s="105"/>
      <c r="BH151" s="105"/>
      <c r="BI151" s="105"/>
      <c r="BJ151" s="105"/>
      <c r="BK151" s="105"/>
      <c r="BL151" s="105"/>
      <c r="BM151" s="105"/>
      <c r="BN151" s="105"/>
      <c r="BO151" s="105"/>
      <c r="BP151" s="105"/>
      <c r="BQ151" s="105"/>
      <c r="BR151" s="85"/>
      <c r="BS151" s="85"/>
      <c r="BT151" s="85"/>
      <c r="BU151" s="85"/>
      <c r="BV151" s="85"/>
      <c r="BW151" s="85"/>
      <c r="BX151" s="85"/>
      <c r="BY151" s="85"/>
      <c r="BZ151" s="85"/>
      <c r="CA151" s="85"/>
      <c r="CB151" s="85"/>
      <c r="CC151" s="85"/>
      <c r="CD151" s="85"/>
      <c r="CE151" s="85"/>
      <c r="CF151" s="85"/>
      <c r="CG151" s="81"/>
    </row>
    <row r="152" spans="52:93" ht="26.25" customHeight="1">
      <c r="AZ152" s="345"/>
      <c r="BA152" s="345"/>
      <c r="BB152" s="345"/>
      <c r="BC152" s="345"/>
      <c r="BD152" s="345"/>
      <c r="BE152" s="345"/>
      <c r="BF152" s="345"/>
      <c r="BG152" s="345"/>
      <c r="BH152" s="345"/>
      <c r="BI152" s="345"/>
      <c r="BJ152" s="345"/>
      <c r="BK152" s="345"/>
      <c r="BL152" s="345"/>
      <c r="BM152" s="345"/>
      <c r="BN152" s="345"/>
      <c r="BO152" s="345"/>
      <c r="BP152" s="345"/>
      <c r="BQ152" s="345"/>
      <c r="BR152" s="345"/>
      <c r="BS152" s="345"/>
      <c r="BT152" s="345"/>
      <c r="BU152" s="345"/>
      <c r="BV152" s="345"/>
      <c r="BW152" s="345"/>
      <c r="BX152" s="345"/>
      <c r="BY152" s="345"/>
      <c r="BZ152" s="345"/>
      <c r="CA152" s="345"/>
      <c r="CB152" s="345"/>
      <c r="CC152" s="345"/>
      <c r="CD152" s="345"/>
      <c r="CE152" s="345"/>
      <c r="CF152" s="345"/>
      <c r="CG152" s="345"/>
    </row>
    <row r="153" spans="52:93" ht="22.5" customHeight="1"/>
    <row r="154" spans="52:93" ht="22.5" customHeight="1"/>
    <row r="155" spans="52:93" ht="22.5" customHeight="1"/>
  </sheetData>
  <sheetProtection sheet="1" objects="1" scenarios="1" formatCells="0" formatColumns="0" formatRows="0" autoFilter="0"/>
  <mergeCells count="304">
    <mergeCell ref="C2:F2"/>
    <mergeCell ref="H2:X2"/>
    <mergeCell ref="C3:F3"/>
    <mergeCell ref="H3:O3"/>
    <mergeCell ref="Q3:X3"/>
    <mergeCell ref="C5:I5"/>
    <mergeCell ref="J5:P5"/>
    <mergeCell ref="Q5:W5"/>
    <mergeCell ref="X5:AD5"/>
    <mergeCell ref="AG5:AJ7"/>
    <mergeCell ref="D6:F6"/>
    <mergeCell ref="K6:M6"/>
    <mergeCell ref="R6:T6"/>
    <mergeCell ref="Y6:AA6"/>
    <mergeCell ref="D7:F7"/>
    <mergeCell ref="K7:M7"/>
    <mergeCell ref="R7:T7"/>
    <mergeCell ref="Y7:AA7"/>
    <mergeCell ref="AO9:AO10"/>
    <mergeCell ref="AP9:AP10"/>
    <mergeCell ref="AQ9:AQ10"/>
    <mergeCell ref="AR9:AR10"/>
    <mergeCell ref="AS9:AS10"/>
    <mergeCell ref="D10:F10"/>
    <mergeCell ref="K10:M10"/>
    <mergeCell ref="R10:T10"/>
    <mergeCell ref="Y10:AA10"/>
    <mergeCell ref="AK10:AL10"/>
    <mergeCell ref="AI8:AI9"/>
    <mergeCell ref="AJ8:AJ9"/>
    <mergeCell ref="D9:F9"/>
    <mergeCell ref="K9:M9"/>
    <mergeCell ref="R9:T9"/>
    <mergeCell ref="Y9:AA9"/>
    <mergeCell ref="D8:F8"/>
    <mergeCell ref="K8:M8"/>
    <mergeCell ref="R8:T8"/>
    <mergeCell ref="Y8:AA8"/>
    <mergeCell ref="AG8:AG9"/>
    <mergeCell ref="AH8:AH9"/>
    <mergeCell ref="D13:H13"/>
    <mergeCell ref="K13:O13"/>
    <mergeCell ref="R13:V13"/>
    <mergeCell ref="Y13:AC13"/>
    <mergeCell ref="D14:H14"/>
    <mergeCell ref="K14:O14"/>
    <mergeCell ref="R14:V14"/>
    <mergeCell ref="Y14:AC14"/>
    <mergeCell ref="C11:I11"/>
    <mergeCell ref="J11:P11"/>
    <mergeCell ref="Q11:W11"/>
    <mergeCell ref="X11:AD11"/>
    <mergeCell ref="D12:H12"/>
    <mergeCell ref="K12:O12"/>
    <mergeCell ref="R12:V12"/>
    <mergeCell ref="Y12:AC12"/>
    <mergeCell ref="D15:H15"/>
    <mergeCell ref="K15:O15"/>
    <mergeCell ref="R15:V15"/>
    <mergeCell ref="Y15:AC15"/>
    <mergeCell ref="AK15:AL15"/>
    <mergeCell ref="C16:C17"/>
    <mergeCell ref="D16:E16"/>
    <mergeCell ref="J16:J17"/>
    <mergeCell ref="K16:L16"/>
    <mergeCell ref="Q16:Q17"/>
    <mergeCell ref="R16:S16"/>
    <mergeCell ref="X16:X17"/>
    <mergeCell ref="Y16:Z16"/>
    <mergeCell ref="AE16:AE19"/>
    <mergeCell ref="D17:E17"/>
    <mergeCell ref="K17:L17"/>
    <mergeCell ref="R17:S17"/>
    <mergeCell ref="Y17:Z17"/>
    <mergeCell ref="X18:X19"/>
    <mergeCell ref="Y18:Z18"/>
    <mergeCell ref="Y19:Z19"/>
    <mergeCell ref="C20:C21"/>
    <mergeCell ref="D20:E20"/>
    <mergeCell ref="J20:J21"/>
    <mergeCell ref="K20:L20"/>
    <mergeCell ref="Q20:Q21"/>
    <mergeCell ref="R20:S20"/>
    <mergeCell ref="X20:X21"/>
    <mergeCell ref="Y20:Z20"/>
    <mergeCell ref="C18:C19"/>
    <mergeCell ref="D18:E18"/>
    <mergeCell ref="J18:J19"/>
    <mergeCell ref="K18:L18"/>
    <mergeCell ref="Q18:Q19"/>
    <mergeCell ref="R18:S18"/>
    <mergeCell ref="D19:E19"/>
    <mergeCell ref="K19:L19"/>
    <mergeCell ref="R19:S19"/>
    <mergeCell ref="AE20:AE23"/>
    <mergeCell ref="AK20:AL20"/>
    <mergeCell ref="D21:E21"/>
    <mergeCell ref="K21:L21"/>
    <mergeCell ref="R21:S21"/>
    <mergeCell ref="Y21:Z21"/>
    <mergeCell ref="X22:X23"/>
    <mergeCell ref="Y22:Z22"/>
    <mergeCell ref="Y23:Z23"/>
    <mergeCell ref="C24:C25"/>
    <mergeCell ref="D24:E24"/>
    <mergeCell ref="J24:J25"/>
    <mergeCell ref="K24:L24"/>
    <mergeCell ref="Q24:Q25"/>
    <mergeCell ref="R24:S24"/>
    <mergeCell ref="C22:C23"/>
    <mergeCell ref="D22:E22"/>
    <mergeCell ref="J22:J23"/>
    <mergeCell ref="K22:L22"/>
    <mergeCell ref="Q22:Q23"/>
    <mergeCell ref="R22:S22"/>
    <mergeCell ref="D23:E23"/>
    <mergeCell ref="K23:L23"/>
    <mergeCell ref="R23:S23"/>
    <mergeCell ref="X24:X25"/>
    <mergeCell ref="Y24:Z24"/>
    <mergeCell ref="AE24:AE27"/>
    <mergeCell ref="D25:E25"/>
    <mergeCell ref="K25:L25"/>
    <mergeCell ref="R25:S25"/>
    <mergeCell ref="Y25:Z25"/>
    <mergeCell ref="X26:X27"/>
    <mergeCell ref="Y26:Z26"/>
    <mergeCell ref="AG26:AH26"/>
    <mergeCell ref="AI26:AJ26"/>
    <mergeCell ref="D27:E27"/>
    <mergeCell ref="K27:L27"/>
    <mergeCell ref="R27:S27"/>
    <mergeCell ref="Y27:Z27"/>
    <mergeCell ref="AG27:AH28"/>
    <mergeCell ref="AI27:AJ28"/>
    <mergeCell ref="C28:P28"/>
    <mergeCell ref="C26:C27"/>
    <mergeCell ref="D26:E26"/>
    <mergeCell ref="J26:J27"/>
    <mergeCell ref="K26:L26"/>
    <mergeCell ref="Q26:Q27"/>
    <mergeCell ref="R26:S26"/>
    <mergeCell ref="C32:D32"/>
    <mergeCell ref="Y32:AC32"/>
    <mergeCell ref="AP32:AR32"/>
    <mergeCell ref="P33:S33"/>
    <mergeCell ref="Y33:AC33"/>
    <mergeCell ref="AP33:AR33"/>
    <mergeCell ref="Y29:AD30"/>
    <mergeCell ref="AG29:AJ31"/>
    <mergeCell ref="AP29:AR29"/>
    <mergeCell ref="C30:D30"/>
    <mergeCell ref="AP30:AR30"/>
    <mergeCell ref="I31:K31"/>
    <mergeCell ref="Y31:AC31"/>
    <mergeCell ref="AP31:AR31"/>
    <mergeCell ref="C36:D36"/>
    <mergeCell ref="AP36:AR36"/>
    <mergeCell ref="P37:U37"/>
    <mergeCell ref="X37:AC37"/>
    <mergeCell ref="AP37:AR37"/>
    <mergeCell ref="C38:D38"/>
    <mergeCell ref="Y38:AC38"/>
    <mergeCell ref="AP38:AR38"/>
    <mergeCell ref="C34:D34"/>
    <mergeCell ref="Y34:AC34"/>
    <mergeCell ref="AP34:AR34"/>
    <mergeCell ref="I35:K35"/>
    <mergeCell ref="P35:R35"/>
    <mergeCell ref="AP35:AR35"/>
    <mergeCell ref="C42:D42"/>
    <mergeCell ref="AP42:AR42"/>
    <mergeCell ref="I43:K43"/>
    <mergeCell ref="AP43:AR43"/>
    <mergeCell ref="C44:D44"/>
    <mergeCell ref="AP44:AR44"/>
    <mergeCell ref="I39:K39"/>
    <mergeCell ref="P39:R39"/>
    <mergeCell ref="AP39:AR39"/>
    <mergeCell ref="C40:D40"/>
    <mergeCell ref="AP40:AR40"/>
    <mergeCell ref="P41:S41"/>
    <mergeCell ref="AP41:AR41"/>
    <mergeCell ref="B49:D49"/>
    <mergeCell ref="AP49:AR49"/>
    <mergeCell ref="I50:K50"/>
    <mergeCell ref="Y50:AC50"/>
    <mergeCell ref="AP50:AR50"/>
    <mergeCell ref="Y51:AC51"/>
    <mergeCell ref="AP51:AR51"/>
    <mergeCell ref="AP45:AR45"/>
    <mergeCell ref="AP46:AR46"/>
    <mergeCell ref="AP47:AR47"/>
    <mergeCell ref="I48:W49"/>
    <mergeCell ref="Y48:AD49"/>
    <mergeCell ref="AP48:AR48"/>
    <mergeCell ref="P56:U56"/>
    <mergeCell ref="X56:AC56"/>
    <mergeCell ref="Y57:AC57"/>
    <mergeCell ref="I58:K58"/>
    <mergeCell ref="P58:R58"/>
    <mergeCell ref="P60:S60"/>
    <mergeCell ref="P52:S52"/>
    <mergeCell ref="Y52:AC52"/>
    <mergeCell ref="AP52:AR52"/>
    <mergeCell ref="Y53:AC53"/>
    <mergeCell ref="AP53:AR53"/>
    <mergeCell ref="I54:K54"/>
    <mergeCell ref="P54:R54"/>
    <mergeCell ref="AP54:AR54"/>
    <mergeCell ref="I68:K68"/>
    <mergeCell ref="Y68:AC68"/>
    <mergeCell ref="AP68:AR68"/>
    <mergeCell ref="Y69:AC69"/>
    <mergeCell ref="AP69:AR69"/>
    <mergeCell ref="P70:S70"/>
    <mergeCell ref="Y70:AC70"/>
    <mergeCell ref="AP70:AR70"/>
    <mergeCell ref="I62:K62"/>
    <mergeCell ref="AP65:AR65"/>
    <mergeCell ref="I66:W67"/>
    <mergeCell ref="Y66:AD67"/>
    <mergeCell ref="AP66:AR66"/>
    <mergeCell ref="AP67:AR67"/>
    <mergeCell ref="Y75:AC75"/>
    <mergeCell ref="I76:K76"/>
    <mergeCell ref="P76:R76"/>
    <mergeCell ref="P78:S78"/>
    <mergeCell ref="I80:K80"/>
    <mergeCell ref="AP83:AR83"/>
    <mergeCell ref="Y71:AC71"/>
    <mergeCell ref="AP71:AR71"/>
    <mergeCell ref="I72:K72"/>
    <mergeCell ref="P72:R72"/>
    <mergeCell ref="AP72:AR72"/>
    <mergeCell ref="P74:U74"/>
    <mergeCell ref="X74:AC74"/>
    <mergeCell ref="Y87:AC87"/>
    <mergeCell ref="AP87:AR87"/>
    <mergeCell ref="P88:S88"/>
    <mergeCell ref="Y88:AC88"/>
    <mergeCell ref="AP88:AR88"/>
    <mergeCell ref="Y89:AC89"/>
    <mergeCell ref="AP89:AR89"/>
    <mergeCell ref="I84:W85"/>
    <mergeCell ref="Y84:AD85"/>
    <mergeCell ref="AP84:AR84"/>
    <mergeCell ref="AP85:AR85"/>
    <mergeCell ref="I86:K86"/>
    <mergeCell ref="Y86:AC86"/>
    <mergeCell ref="AP86:AR86"/>
    <mergeCell ref="I94:K94"/>
    <mergeCell ref="P94:R94"/>
    <mergeCell ref="P96:S96"/>
    <mergeCell ref="I98:K98"/>
    <mergeCell ref="AZ100:CG100"/>
    <mergeCell ref="BA101:BM101"/>
    <mergeCell ref="I90:K90"/>
    <mergeCell ref="P90:R90"/>
    <mergeCell ref="AP90:AR90"/>
    <mergeCell ref="P92:U92"/>
    <mergeCell ref="X92:AC92"/>
    <mergeCell ref="Y93:AC93"/>
    <mergeCell ref="BA107:BB108"/>
    <mergeCell ref="BC107:BE108"/>
    <mergeCell ref="BF107:BH108"/>
    <mergeCell ref="BI107:BK108"/>
    <mergeCell ref="BN107:BP108"/>
    <mergeCell ref="BB109:BK109"/>
    <mergeCell ref="BL109:BP109"/>
    <mergeCell ref="BA104:BB104"/>
    <mergeCell ref="BA105:BB106"/>
    <mergeCell ref="BC105:BE106"/>
    <mergeCell ref="BF105:BH106"/>
    <mergeCell ref="BI105:BK106"/>
    <mergeCell ref="BN105:BP106"/>
    <mergeCell ref="AZ126:CG126"/>
    <mergeCell ref="BA127:BM127"/>
    <mergeCell ref="BA130:BB130"/>
    <mergeCell ref="BA131:BB132"/>
    <mergeCell ref="BC131:BE132"/>
    <mergeCell ref="BF131:BH132"/>
    <mergeCell ref="BI131:BK132"/>
    <mergeCell ref="BN131:BP132"/>
    <mergeCell ref="BA111:BB112"/>
    <mergeCell ref="BA113:BB114"/>
    <mergeCell ref="BA116:BB117"/>
    <mergeCell ref="BA118:BB119"/>
    <mergeCell ref="BA121:BB122"/>
    <mergeCell ref="BA123:BB124"/>
    <mergeCell ref="AZ152:CG152"/>
    <mergeCell ref="BA137:BB138"/>
    <mergeCell ref="BA139:BB140"/>
    <mergeCell ref="BA142:BB143"/>
    <mergeCell ref="BA144:BB145"/>
    <mergeCell ref="BA147:BB148"/>
    <mergeCell ref="BA149:BB150"/>
    <mergeCell ref="BA133:BB134"/>
    <mergeCell ref="BC133:BE134"/>
    <mergeCell ref="BF133:BH134"/>
    <mergeCell ref="BI133:BK134"/>
    <mergeCell ref="BN133:BP134"/>
    <mergeCell ref="BB135:BK135"/>
    <mergeCell ref="BL135:BP135"/>
  </mergeCells>
  <printOptions horizontalCentered="1" verticalCentered="1"/>
  <pageMargins left="0.19685039370078741" right="0.19685039370078741" top="0" bottom="0" header="0.15748031496062992" footer="0.15748031496062992"/>
  <pageSetup paperSize="9" scale="68" orientation="portrait" horizontalDpi="150" verticalDpi="15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sheetPr codeName="Folha10">
    <tabColor theme="5" tint="0.39997558519241921"/>
    <pageSetUpPr fitToPage="1"/>
  </sheetPr>
  <dimension ref="B1:CO155"/>
  <sheetViews>
    <sheetView showGridLines="0" zoomScale="80" zoomScaleNormal="80" workbookViewId="0">
      <selection activeCell="AS9" sqref="AS9:AS10"/>
    </sheetView>
  </sheetViews>
  <sheetFormatPr defaultRowHeight="12.75"/>
  <cols>
    <col min="1" max="1" width="1.42578125" style="1" customWidth="1"/>
    <col min="2" max="2" width="2.140625" style="1" customWidth="1"/>
    <col min="3" max="3" width="3.28515625" style="34" customWidth="1"/>
    <col min="4" max="4" width="24.140625" style="1" customWidth="1"/>
    <col min="5" max="5" width="2.85546875" style="1" customWidth="1"/>
    <col min="6" max="9" width="3.28515625" style="1" customWidth="1"/>
    <col min="10" max="10" width="3.28515625" style="34" customWidth="1"/>
    <col min="11" max="11" width="24.140625" style="1" customWidth="1"/>
    <col min="12" max="12" width="2.85546875" style="1" customWidth="1"/>
    <col min="13" max="13" width="3.42578125" style="1" customWidth="1"/>
    <col min="14" max="16" width="3.28515625" style="1" customWidth="1"/>
    <col min="17" max="17" width="3.28515625" style="34" customWidth="1"/>
    <col min="18" max="18" width="24.140625" style="1" customWidth="1"/>
    <col min="19" max="19" width="2.85546875" style="1" customWidth="1"/>
    <col min="20" max="23" width="3.28515625" style="1" customWidth="1"/>
    <col min="24" max="24" width="3.28515625" style="34" customWidth="1"/>
    <col min="25" max="25" width="24.140625" style="1" customWidth="1"/>
    <col min="26" max="26" width="1.85546875" style="1" customWidth="1"/>
    <col min="27" max="29" width="3.28515625" style="1" customWidth="1"/>
    <col min="30" max="30" width="4" style="1" customWidth="1"/>
    <col min="31" max="31" width="6.140625" style="1" customWidth="1"/>
    <col min="32" max="32" width="5" style="1" customWidth="1"/>
    <col min="33" max="33" width="5.5703125" style="1" customWidth="1"/>
    <col min="34" max="34" width="5.85546875" style="1" customWidth="1"/>
    <col min="35" max="35" width="5.5703125" style="1" customWidth="1"/>
    <col min="36" max="36" width="5.85546875" style="1" customWidth="1"/>
    <col min="37" max="38" width="6.85546875" style="1" customWidth="1"/>
    <col min="39" max="39" width="4.7109375" style="1" customWidth="1"/>
    <col min="40" max="40" width="5" style="1" customWidth="1"/>
    <col min="41" max="41" width="23.42578125" style="1" customWidth="1"/>
    <col min="42" max="44" width="10" style="1" customWidth="1"/>
    <col min="45" max="51" width="12" style="1" customWidth="1"/>
    <col min="52" max="52" width="2.85546875" style="1" customWidth="1"/>
    <col min="53" max="53" width="34.7109375" style="1" customWidth="1"/>
    <col min="54" max="54" width="8.140625" style="1" customWidth="1"/>
    <col min="55" max="84" width="3.28515625" style="1" customWidth="1"/>
    <col min="85" max="85" width="2.85546875" style="1" customWidth="1"/>
    <col min="86" max="86" width="9.140625" style="1"/>
    <col min="87" max="87" width="7.5703125" style="1" customWidth="1"/>
    <col min="88" max="90" width="9.140625" style="1"/>
    <col min="91" max="91" width="22" style="1" customWidth="1"/>
    <col min="92" max="93" width="27.28515625" style="1" customWidth="1"/>
    <col min="94" max="16384" width="9.140625" style="1"/>
  </cols>
  <sheetData>
    <row r="1" spans="2:71" ht="9" customHeight="1"/>
    <row r="2" spans="2:71" ht="28.5" customHeight="1">
      <c r="B2" s="125"/>
      <c r="C2" s="481" t="s">
        <v>252</v>
      </c>
      <c r="D2" s="481"/>
      <c r="E2" s="481"/>
      <c r="F2" s="481"/>
      <c r="G2" s="110"/>
      <c r="H2" s="482" t="s">
        <v>53</v>
      </c>
      <c r="I2" s="482"/>
      <c r="J2" s="482"/>
      <c r="K2" s="482"/>
      <c r="L2" s="482"/>
      <c r="M2" s="482"/>
      <c r="N2" s="482"/>
      <c r="O2" s="482"/>
      <c r="P2" s="482"/>
      <c r="Q2" s="482"/>
      <c r="R2" s="482"/>
      <c r="S2" s="482"/>
      <c r="T2" s="482"/>
      <c r="U2" s="482"/>
      <c r="V2" s="482"/>
      <c r="W2" s="482"/>
      <c r="X2" s="482"/>
      <c r="Y2" s="110"/>
      <c r="Z2" s="110"/>
      <c r="AA2" s="110"/>
      <c r="AB2" s="110"/>
      <c r="AC2" s="110"/>
      <c r="AD2" s="110" t="s">
        <v>17</v>
      </c>
      <c r="AE2" s="3"/>
      <c r="AG2" s="310"/>
      <c r="AH2" s="311"/>
      <c r="AN2" s="312"/>
      <c r="AO2" s="312"/>
      <c r="AP2" s="312"/>
      <c r="AQ2" s="312"/>
      <c r="AR2" s="312"/>
      <c r="AS2" s="312"/>
      <c r="AT2" s="312"/>
      <c r="AU2" s="312"/>
      <c r="AV2" s="312"/>
      <c r="AW2" s="312"/>
      <c r="AX2" s="312"/>
      <c r="AY2" s="312"/>
      <c r="BA2" s="313"/>
      <c r="BB2" s="313"/>
      <c r="BC2" s="313"/>
      <c r="BD2" s="313"/>
      <c r="BE2" s="313"/>
      <c r="BF2" s="313"/>
      <c r="BG2" s="313"/>
      <c r="BH2" s="313"/>
      <c r="BI2" s="313"/>
      <c r="BJ2" s="313"/>
      <c r="BK2" s="313"/>
      <c r="BL2" s="313"/>
      <c r="BM2" s="313"/>
      <c r="BN2" s="313"/>
      <c r="BO2" s="313"/>
      <c r="BP2" s="313"/>
      <c r="BQ2" s="313"/>
      <c r="BR2" s="313"/>
      <c r="BS2" s="313"/>
    </row>
    <row r="3" spans="2:71" ht="20.25" customHeight="1">
      <c r="B3" s="126"/>
      <c r="C3" s="483" t="s">
        <v>253</v>
      </c>
      <c r="D3" s="483"/>
      <c r="E3" s="483"/>
      <c r="F3" s="483"/>
      <c r="G3" s="111"/>
      <c r="H3" s="484" t="s">
        <v>52</v>
      </c>
      <c r="I3" s="484"/>
      <c r="J3" s="484"/>
      <c r="K3" s="484"/>
      <c r="L3" s="484"/>
      <c r="M3" s="484"/>
      <c r="N3" s="484"/>
      <c r="O3" s="484"/>
      <c r="P3" s="112" t="s">
        <v>31</v>
      </c>
      <c r="Q3" s="485" t="s">
        <v>50</v>
      </c>
      <c r="R3" s="485"/>
      <c r="S3" s="485"/>
      <c r="T3" s="485"/>
      <c r="U3" s="485"/>
      <c r="V3" s="485"/>
      <c r="W3" s="485"/>
      <c r="X3" s="485"/>
      <c r="Y3" s="111"/>
      <c r="Z3" s="111"/>
      <c r="AA3" s="111"/>
      <c r="AB3" s="111"/>
      <c r="AC3" s="111"/>
      <c r="AD3" s="111"/>
      <c r="AE3" s="113"/>
      <c r="AG3" s="310"/>
      <c r="AH3" s="311"/>
      <c r="AN3" s="312"/>
      <c r="AO3" s="312"/>
      <c r="AP3" s="312"/>
      <c r="AQ3" s="312"/>
      <c r="AR3" s="312"/>
      <c r="AS3" s="312"/>
      <c r="AT3" s="312"/>
      <c r="AU3" s="312"/>
      <c r="AV3" s="312"/>
      <c r="AW3" s="312"/>
      <c r="AX3" s="312"/>
      <c r="AY3" s="312"/>
      <c r="BA3" s="313"/>
      <c r="BB3" s="313"/>
      <c r="BC3" s="313"/>
      <c r="BD3" s="313"/>
      <c r="BE3" s="313"/>
      <c r="BF3" s="313"/>
      <c r="BG3" s="313"/>
      <c r="BH3" s="313"/>
      <c r="BI3" s="313"/>
      <c r="BJ3" s="313"/>
      <c r="BK3" s="313"/>
      <c r="BL3" s="313"/>
      <c r="BM3" s="313"/>
      <c r="BN3" s="313"/>
      <c r="BO3" s="313"/>
      <c r="BP3" s="313"/>
      <c r="BQ3" s="313"/>
      <c r="BR3" s="313"/>
      <c r="BS3" s="313"/>
    </row>
    <row r="4" spans="2:71" ht="13.5" customHeight="1" thickBot="1">
      <c r="B4" s="126"/>
      <c r="C4" s="115"/>
      <c r="D4" s="114"/>
      <c r="E4" s="114"/>
      <c r="F4" s="114"/>
      <c r="G4" s="114"/>
      <c r="H4" s="114"/>
      <c r="I4" s="114"/>
      <c r="J4" s="115"/>
      <c r="K4" s="114"/>
      <c r="L4" s="114"/>
      <c r="M4" s="114"/>
      <c r="N4" s="114"/>
      <c r="O4" s="114"/>
      <c r="P4" s="114" t="s">
        <v>19</v>
      </c>
      <c r="Q4" s="115"/>
      <c r="R4" s="114"/>
      <c r="S4" s="114"/>
      <c r="T4" s="114"/>
      <c r="U4" s="114"/>
      <c r="V4" s="114"/>
      <c r="W4" s="114" t="s">
        <v>18</v>
      </c>
      <c r="X4" s="115"/>
      <c r="Y4" s="114"/>
      <c r="Z4" s="114"/>
      <c r="AA4" s="114"/>
      <c r="AB4" s="114"/>
      <c r="AC4" s="114"/>
      <c r="AD4" s="114"/>
      <c r="AE4" s="116"/>
      <c r="AF4" s="106"/>
      <c r="AN4" s="312"/>
      <c r="AO4" s="312"/>
      <c r="AP4" s="312"/>
      <c r="AQ4" s="312"/>
      <c r="AR4" s="312"/>
      <c r="AS4" s="312"/>
      <c r="AT4" s="312"/>
      <c r="AU4" s="312"/>
      <c r="AV4" s="312"/>
      <c r="AW4" s="312"/>
      <c r="AX4" s="312"/>
      <c r="AY4" s="312"/>
      <c r="BA4" s="313"/>
      <c r="BB4" s="313"/>
      <c r="BC4" s="313"/>
      <c r="BD4" s="313"/>
      <c r="BE4" s="313"/>
      <c r="BF4" s="313"/>
      <c r="BG4" s="313"/>
      <c r="BH4" s="313"/>
      <c r="BI4" s="313"/>
      <c r="BJ4" s="313"/>
      <c r="BK4" s="313"/>
      <c r="BL4" s="313"/>
      <c r="BM4" s="313"/>
      <c r="BN4" s="313"/>
      <c r="BO4" s="313"/>
      <c r="BP4" s="313"/>
      <c r="BQ4" s="313"/>
      <c r="BR4" s="313"/>
      <c r="BS4" s="313"/>
    </row>
    <row r="5" spans="2:71" ht="28.5" customHeight="1">
      <c r="B5" s="126"/>
      <c r="C5" s="486" t="s">
        <v>7</v>
      </c>
      <c r="D5" s="487"/>
      <c r="E5" s="487"/>
      <c r="F5" s="487"/>
      <c r="G5" s="487"/>
      <c r="H5" s="487"/>
      <c r="I5" s="488"/>
      <c r="J5" s="486" t="s">
        <v>8</v>
      </c>
      <c r="K5" s="487"/>
      <c r="L5" s="487"/>
      <c r="M5" s="487"/>
      <c r="N5" s="487"/>
      <c r="O5" s="487"/>
      <c r="P5" s="488"/>
      <c r="Q5" s="486" t="s">
        <v>9</v>
      </c>
      <c r="R5" s="487"/>
      <c r="S5" s="487"/>
      <c r="T5" s="487"/>
      <c r="U5" s="487"/>
      <c r="V5" s="487"/>
      <c r="W5" s="488"/>
      <c r="X5" s="486" t="s">
        <v>10</v>
      </c>
      <c r="Y5" s="487"/>
      <c r="Z5" s="487"/>
      <c r="AA5" s="487"/>
      <c r="AB5" s="487"/>
      <c r="AC5" s="487"/>
      <c r="AD5" s="488"/>
      <c r="AE5" s="117"/>
      <c r="AF5" s="107"/>
      <c r="AG5" s="478" t="s">
        <v>47</v>
      </c>
      <c r="AH5" s="478"/>
      <c r="AI5" s="478"/>
      <c r="AJ5" s="478"/>
      <c r="AN5" s="314"/>
      <c r="AO5" s="314"/>
      <c r="AP5" s="314"/>
      <c r="AQ5" s="314"/>
      <c r="AR5" s="314"/>
      <c r="AS5" s="315"/>
      <c r="AT5" s="315"/>
      <c r="AU5" s="315"/>
      <c r="AV5" s="315"/>
      <c r="AW5" s="315"/>
      <c r="AX5" s="315"/>
      <c r="AY5" s="315"/>
      <c r="BA5" s="313"/>
      <c r="BB5" s="313"/>
      <c r="BC5" s="313"/>
      <c r="BD5" s="313"/>
      <c r="BE5" s="313"/>
      <c r="BF5" s="313"/>
      <c r="BG5" s="313"/>
      <c r="BH5" s="313"/>
      <c r="BI5" s="313"/>
      <c r="BJ5" s="313"/>
      <c r="BK5" s="313"/>
      <c r="BL5" s="313"/>
      <c r="BM5" s="313"/>
      <c r="BN5" s="313"/>
      <c r="BO5" s="313"/>
      <c r="BP5" s="313"/>
      <c r="BQ5" s="313"/>
      <c r="BR5" s="313"/>
      <c r="BS5" s="313"/>
    </row>
    <row r="6" spans="2:71" ht="18" customHeight="1">
      <c r="B6" s="126"/>
      <c r="C6" s="2"/>
      <c r="D6" s="480" t="s">
        <v>11</v>
      </c>
      <c r="E6" s="480"/>
      <c r="F6" s="480"/>
      <c r="G6" s="3"/>
      <c r="H6" s="4" t="s">
        <v>6</v>
      </c>
      <c r="I6" s="5"/>
      <c r="J6" s="2"/>
      <c r="K6" s="480" t="s">
        <v>11</v>
      </c>
      <c r="L6" s="480"/>
      <c r="M6" s="480"/>
      <c r="N6" s="3"/>
      <c r="O6" s="4" t="s">
        <v>6</v>
      </c>
      <c r="P6" s="5"/>
      <c r="Q6" s="2"/>
      <c r="R6" s="480" t="s">
        <v>11</v>
      </c>
      <c r="S6" s="480"/>
      <c r="T6" s="480"/>
      <c r="U6" s="3"/>
      <c r="V6" s="4" t="s">
        <v>6</v>
      </c>
      <c r="W6" s="5"/>
      <c r="X6" s="2"/>
      <c r="Y6" s="480" t="s">
        <v>11</v>
      </c>
      <c r="Z6" s="480"/>
      <c r="AA6" s="480"/>
      <c r="AB6" s="3"/>
      <c r="AC6" s="4" t="s">
        <v>6</v>
      </c>
      <c r="AD6" s="5"/>
      <c r="AE6" s="117"/>
      <c r="AF6" s="107"/>
      <c r="AG6" s="478"/>
      <c r="AH6" s="478"/>
      <c r="AI6" s="478"/>
      <c r="AJ6" s="478"/>
      <c r="AN6" s="286"/>
      <c r="AO6" s="286"/>
      <c r="AP6" s="316"/>
      <c r="AQ6" s="316"/>
      <c r="AR6" s="316"/>
      <c r="AS6" s="287"/>
      <c r="AT6" s="287"/>
      <c r="AU6" s="287"/>
      <c r="AV6" s="287"/>
      <c r="AW6" s="287"/>
      <c r="AX6" s="287"/>
      <c r="AY6" s="287"/>
      <c r="BA6" s="313"/>
      <c r="BB6" s="313"/>
      <c r="BC6" s="313"/>
      <c r="BD6" s="313"/>
      <c r="BE6" s="313"/>
      <c r="BF6" s="313"/>
      <c r="BG6" s="313"/>
      <c r="BH6" s="313"/>
      <c r="BI6" s="313"/>
      <c r="BJ6" s="313"/>
      <c r="BK6" s="313"/>
      <c r="BL6" s="313"/>
      <c r="BM6" s="313"/>
      <c r="BN6" s="313"/>
      <c r="BO6" s="313"/>
      <c r="BP6" s="313"/>
      <c r="BQ6" s="313"/>
      <c r="BR6" s="313"/>
      <c r="BS6" s="313"/>
    </row>
    <row r="7" spans="2:71" ht="19.5" customHeight="1" thickBot="1">
      <c r="B7" s="126"/>
      <c r="C7" s="6"/>
      <c r="D7" s="473" t="s">
        <v>428</v>
      </c>
      <c r="E7" s="473"/>
      <c r="F7" s="473"/>
      <c r="G7" s="7" t="s">
        <v>16</v>
      </c>
      <c r="H7" s="8">
        <f>IF(COUNT(F$16,F$22,F$27)=0,"",SUM(AND(F$16&lt;&gt;"",F$17&lt;&gt;"",F$16&gt;F$17),AND(F$22&lt;&gt;"",F$23&lt;&gt;"",F$22&gt;F$23),AND(F$27&lt;&gt;"",F$26&lt;&gt;"",F$27&gt;F$26)))</f>
        <v>1</v>
      </c>
      <c r="I7" s="9"/>
      <c r="J7" s="6"/>
      <c r="K7" s="473" t="s">
        <v>228</v>
      </c>
      <c r="L7" s="473"/>
      <c r="M7" s="473"/>
      <c r="N7" s="7" t="s">
        <v>16</v>
      </c>
      <c r="O7" s="8" t="str">
        <f>IF(COUNT(M$16,M$22,M$27)=0,"",SUM(AND(M$16&lt;&gt;"",M$17&lt;&gt;"",M$16&gt;M$17),AND(M$22&lt;&gt;"",M$23&lt;&gt;"",M$22&gt;M$23),AND(M$27&lt;&gt;"",M$26&lt;&gt;"",M$27&gt;M$26)))</f>
        <v/>
      </c>
      <c r="P7" s="9"/>
      <c r="Q7" s="6"/>
      <c r="R7" s="473" t="s">
        <v>232</v>
      </c>
      <c r="S7" s="473"/>
      <c r="T7" s="473"/>
      <c r="U7" s="7" t="s">
        <v>16</v>
      </c>
      <c r="V7" s="8" t="str">
        <f>IF(COUNT(T$16,T$22,T$27)=0,"",SUM(AND(T$16&lt;&gt;"",T$17&lt;&gt;"",T$16&gt;T$17),AND(T$22&lt;&gt;"",T$23&lt;&gt;"",T$22&gt;T$23),AND(T$27&lt;&gt;"",T$26&lt;&gt;"",T$27&gt;T$26)))</f>
        <v/>
      </c>
      <c r="W7" s="9"/>
      <c r="X7" s="6"/>
      <c r="Y7" s="473" t="s">
        <v>236</v>
      </c>
      <c r="Z7" s="473"/>
      <c r="AA7" s="473"/>
      <c r="AB7" s="7" t="s">
        <v>16</v>
      </c>
      <c r="AC7" s="8" t="str">
        <f>IF(COUNT(AA$16,AA$22,AA$27)=0,"",SUM(AND(AA$16&lt;&gt;"",AA$17&lt;&gt;"",AA$16&gt;AA$17),AND(AA$22&lt;&gt;"",AA$23&lt;&gt;"",AA$22&gt;AA$23),AND(AA$27&lt;&gt;"",AA$26&lt;&gt;"",AA$27&gt;AA$26)))</f>
        <v/>
      </c>
      <c r="AD7" s="9"/>
      <c r="AE7" s="113"/>
      <c r="AG7" s="479"/>
      <c r="AH7" s="479"/>
      <c r="AI7" s="479"/>
      <c r="AJ7" s="479"/>
      <c r="AT7" s="291"/>
      <c r="AU7" s="291"/>
      <c r="AV7" s="290"/>
      <c r="AW7" s="291"/>
      <c r="AX7" s="291"/>
      <c r="AY7" s="290"/>
      <c r="BA7" s="313"/>
      <c r="BB7" s="313"/>
      <c r="BC7" s="313"/>
      <c r="BD7" s="313"/>
      <c r="BE7" s="313"/>
      <c r="BF7" s="313"/>
      <c r="BG7" s="313"/>
      <c r="BH7" s="313"/>
      <c r="BI7" s="313"/>
      <c r="BJ7" s="313"/>
      <c r="BK7" s="313"/>
      <c r="BL7" s="313"/>
      <c r="BM7" s="313"/>
      <c r="BN7" s="313"/>
      <c r="BO7" s="313"/>
      <c r="BP7" s="313"/>
      <c r="BQ7" s="313"/>
      <c r="BR7" s="313"/>
      <c r="BS7" s="313"/>
    </row>
    <row r="8" spans="2:71" ht="19.5" customHeight="1">
      <c r="B8" s="126"/>
      <c r="C8" s="6"/>
      <c r="D8" s="473" t="s">
        <v>226</v>
      </c>
      <c r="E8" s="473"/>
      <c r="F8" s="473"/>
      <c r="G8" s="10" t="s">
        <v>16</v>
      </c>
      <c r="H8" s="8" t="str">
        <f>IF(COUNT(F$18,F$23,F$24)=0,"",SUM(AND(F$18&lt;&gt;"",F$19&lt;&gt;"",F$18&gt;F$19),AND(F$22&lt;&gt;"",F$23&lt;&gt;"",F$23&gt;F$22),AND(F$24&lt;&gt;"",F$25&lt;&gt;"",F$24&gt;F$25)))</f>
        <v/>
      </c>
      <c r="I8" s="9"/>
      <c r="J8" s="6"/>
      <c r="K8" s="473" t="s">
        <v>229</v>
      </c>
      <c r="L8" s="473"/>
      <c r="M8" s="473"/>
      <c r="N8" s="10" t="s">
        <v>16</v>
      </c>
      <c r="O8" s="8" t="str">
        <f>IF(COUNT(M$18,M$23,M$24)=0,"",SUM(AND(M$18&lt;&gt;"",M$19&lt;&gt;"",M$18&gt;M$19),AND(M$22&lt;&gt;"",M$23&lt;&gt;"",M$23&gt;M$22),AND(M$24&lt;&gt;"",M$25&lt;&gt;"",M$24&gt;M$25)))</f>
        <v/>
      </c>
      <c r="P8" s="9"/>
      <c r="Q8" s="6"/>
      <c r="R8" s="473" t="s">
        <v>233</v>
      </c>
      <c r="S8" s="473"/>
      <c r="T8" s="473"/>
      <c r="U8" s="10" t="s">
        <v>16</v>
      </c>
      <c r="V8" s="8" t="str">
        <f>IF(COUNT(T$18,T$23,T$24)=0,"",SUM(AND(T$18&lt;&gt;"",T$19&lt;&gt;"",T$18&gt;T$19),AND(T$22&lt;&gt;"",T$23&lt;&gt;"",T$23&gt;T$22),AND(T$24&lt;&gt;"",T$25&lt;&gt;"",T$24&gt;T$25)))</f>
        <v/>
      </c>
      <c r="W8" s="9"/>
      <c r="X8" s="6"/>
      <c r="Y8" s="473" t="s">
        <v>237</v>
      </c>
      <c r="Z8" s="473"/>
      <c r="AA8" s="473"/>
      <c r="AB8" s="10" t="s">
        <v>16</v>
      </c>
      <c r="AC8" s="8" t="str">
        <f>IF(COUNT(AA$18,AA$23,AA$24)=0,"",SUM(AND(AA$18&lt;&gt;"",AA$19&lt;&gt;"",AA$18&gt;AA$19),AND(AA$22&lt;&gt;"",AA$23&lt;&gt;"",AA$23&gt;AA$22),AND(AA$24&lt;&gt;"",AA$25&lt;&gt;"",AA$24&gt;AA$25)))</f>
        <v/>
      </c>
      <c r="AD8" s="9"/>
      <c r="AE8" s="113"/>
      <c r="AG8" s="474" t="s">
        <v>40</v>
      </c>
      <c r="AH8" s="476" t="s">
        <v>41</v>
      </c>
      <c r="AI8" s="474" t="s">
        <v>40</v>
      </c>
      <c r="AJ8" s="476" t="s">
        <v>41</v>
      </c>
      <c r="AT8" s="317"/>
      <c r="AU8" s="317"/>
      <c r="AV8" s="290"/>
      <c r="AW8" s="317"/>
      <c r="AX8" s="317"/>
      <c r="AY8" s="290"/>
      <c r="BA8" s="313"/>
      <c r="BB8" s="313"/>
      <c r="BC8" s="313"/>
      <c r="BD8" s="313"/>
      <c r="BE8" s="313"/>
      <c r="BF8" s="313"/>
      <c r="BG8" s="313"/>
      <c r="BH8" s="313"/>
      <c r="BI8" s="313"/>
      <c r="BJ8" s="313"/>
      <c r="BK8" s="313"/>
      <c r="BL8" s="313"/>
      <c r="BM8" s="313"/>
      <c r="BN8" s="313"/>
      <c r="BO8" s="313"/>
      <c r="BP8" s="313"/>
      <c r="BQ8" s="313"/>
      <c r="BR8" s="313"/>
      <c r="BS8" s="313"/>
    </row>
    <row r="9" spans="2:71" ht="19.5" customHeight="1" thickBot="1">
      <c r="B9" s="126"/>
      <c r="C9" s="6"/>
      <c r="D9" s="473" t="s">
        <v>227</v>
      </c>
      <c r="E9" s="473"/>
      <c r="F9" s="473"/>
      <c r="G9" s="10" t="s">
        <v>16</v>
      </c>
      <c r="H9" s="8" t="str">
        <f>IF(COUNT(F$19,F$21,F$26)=0,"",SUM(AND(F$18&lt;&gt;"",F$19&lt;&gt;"",F$19&gt;F$18),AND(F$20&lt;&gt;"",F$21&lt;&gt;"",F$21&gt;F$20),AND(F$26&lt;&gt;"",F$27&lt;&gt;"",F$26&gt;F$27)))</f>
        <v/>
      </c>
      <c r="I9" s="9"/>
      <c r="J9" s="6"/>
      <c r="K9" s="473" t="s">
        <v>230</v>
      </c>
      <c r="L9" s="473"/>
      <c r="M9" s="473"/>
      <c r="N9" s="10" t="s">
        <v>16</v>
      </c>
      <c r="O9" s="8" t="str">
        <f>IF(COUNT(M$19,M$21,M$26)=0,"",SUM(AND(M$18&lt;&gt;"",M$19&lt;&gt;"",M$19&gt;M$18),AND(M$20&lt;&gt;"",M$21&lt;&gt;"",M$21&gt;M$20),AND(M$26&lt;&gt;"",M$27&lt;&gt;"",M$26&gt;M$27)))</f>
        <v/>
      </c>
      <c r="P9" s="9"/>
      <c r="Q9" s="6"/>
      <c r="R9" s="473" t="s">
        <v>234</v>
      </c>
      <c r="S9" s="473"/>
      <c r="T9" s="473"/>
      <c r="U9" s="10" t="s">
        <v>16</v>
      </c>
      <c r="V9" s="8" t="str">
        <f>IF(COUNT(T$19,T$21,T$26)=0,"",SUM(AND(T$18&lt;&gt;"",T$19&lt;&gt;"",T$19&gt;T$18),AND(T$20&lt;&gt;"",T$21&lt;&gt;"",T$21&gt;T$20),AND(T$26&lt;&gt;"",T$27&lt;&gt;"",T$26&gt;T$27)))</f>
        <v/>
      </c>
      <c r="W9" s="9"/>
      <c r="X9" s="6"/>
      <c r="Y9" s="473" t="s">
        <v>239</v>
      </c>
      <c r="Z9" s="473"/>
      <c r="AA9" s="473"/>
      <c r="AB9" s="10" t="s">
        <v>16</v>
      </c>
      <c r="AC9" s="8" t="str">
        <f>IF(COUNT(AA$19,AA$21,AA$26)=0,"",SUM(AND(AA$18&lt;&gt;"",AA$19&lt;&gt;"",AA$19&gt;AA$18),AND(AA$20&lt;&gt;"",AA$21&lt;&gt;"",AA$21&gt;AA$20),AND(AA$26&lt;&gt;"",AA$27&lt;&gt;"",AA$26&gt;AA$27)))</f>
        <v/>
      </c>
      <c r="AD9" s="9"/>
      <c r="AE9" s="113"/>
      <c r="AG9" s="475"/>
      <c r="AH9" s="477"/>
      <c r="AI9" s="475"/>
      <c r="AJ9" s="477"/>
      <c r="AN9" s="318"/>
      <c r="AO9" s="468" t="s">
        <v>415</v>
      </c>
      <c r="AP9" s="470" t="s">
        <v>416</v>
      </c>
      <c r="AQ9" s="470" t="s">
        <v>417</v>
      </c>
      <c r="AR9" s="470" t="s">
        <v>418</v>
      </c>
      <c r="AS9" s="472" t="s">
        <v>419</v>
      </c>
      <c r="AT9" s="291"/>
      <c r="AU9" s="291"/>
      <c r="AV9" s="290"/>
      <c r="AW9" s="291"/>
      <c r="AX9" s="291"/>
      <c r="AY9" s="290"/>
      <c r="BA9" s="313"/>
      <c r="BB9" s="313"/>
      <c r="BC9" s="313"/>
      <c r="BD9" s="313"/>
      <c r="BE9" s="313"/>
      <c r="BF9" s="313"/>
      <c r="BG9" s="313"/>
      <c r="BH9" s="313"/>
      <c r="BI9" s="313"/>
      <c r="BJ9" s="313"/>
      <c r="BK9" s="313"/>
      <c r="BL9" s="313"/>
      <c r="BM9" s="313"/>
      <c r="BN9" s="313"/>
      <c r="BO9" s="313"/>
      <c r="BP9" s="313"/>
      <c r="BQ9" s="313"/>
      <c r="BR9" s="313"/>
      <c r="BS9" s="313"/>
    </row>
    <row r="10" spans="2:71" ht="19.5" customHeight="1" thickBot="1">
      <c r="B10" s="126"/>
      <c r="C10" s="6"/>
      <c r="D10" s="473" t="s">
        <v>251</v>
      </c>
      <c r="E10" s="473"/>
      <c r="F10" s="473"/>
      <c r="G10" s="10" t="s">
        <v>16</v>
      </c>
      <c r="H10" s="11">
        <f>IF(COUNT(F$17,F$20,F$25)=0,"",SUM(AND(F$16&lt;&gt;"",F$17&lt;&gt;"",F$17&gt;F$16),AND(F$20&lt;&gt;"",F$21&lt;&gt;"",F$20&gt;F$21),AND(F$24&lt;&gt;"",F$25&lt;&gt;"",F$25&gt;F$24)))</f>
        <v>0</v>
      </c>
      <c r="I10" s="12"/>
      <c r="J10" s="6"/>
      <c r="K10" s="473" t="s">
        <v>231</v>
      </c>
      <c r="L10" s="473"/>
      <c r="M10" s="473"/>
      <c r="N10" s="10" t="s">
        <v>16</v>
      </c>
      <c r="O10" s="11" t="str">
        <f>IF(COUNT(M$17,M$20,M$25)=0,"",SUM(AND(M$16&lt;&gt;"",M$17&lt;&gt;"",M$17&gt;M$16),AND(M$20&lt;&gt;"",M$21&lt;&gt;"",M$20&gt;M$21),AND(M$24&lt;&gt;"",M$25&lt;&gt;"",M$25&gt;M$24)))</f>
        <v/>
      </c>
      <c r="P10" s="12"/>
      <c r="Q10" s="6"/>
      <c r="R10" s="473" t="s">
        <v>235</v>
      </c>
      <c r="S10" s="473"/>
      <c r="T10" s="473"/>
      <c r="U10" s="10" t="s">
        <v>16</v>
      </c>
      <c r="V10" s="11" t="str">
        <f>IF(COUNT(T$17,T$20,T$25)=0,"",SUM(AND(T$16&lt;&gt;"",T$17&lt;&gt;"",T$17&gt;T$16),AND(T$20&lt;&gt;"",T$21&lt;&gt;"",T$20&gt;T$21),AND(T$24&lt;&gt;"",T$25&lt;&gt;"",T$25&gt;T$24)))</f>
        <v/>
      </c>
      <c r="W10" s="12"/>
      <c r="X10" s="6"/>
      <c r="Y10" s="473" t="s">
        <v>238</v>
      </c>
      <c r="Z10" s="473"/>
      <c r="AA10" s="473"/>
      <c r="AB10" s="10" t="s">
        <v>16</v>
      </c>
      <c r="AC10" s="11" t="str">
        <f>IF(COUNT(AA$17,AA$20,AA$25)=0,"",SUM(AND(AA$16&lt;&gt;"",AA$17&lt;&gt;"",AA$17&gt;AA$16),AND(AA$20&lt;&gt;"",AA$21&lt;&gt;"",AA$20&gt;AA$21),AND(AA$24&lt;&gt;"",AA$25&lt;&gt;"",AA$25&gt;AA$24)))</f>
        <v/>
      </c>
      <c r="AD10" s="12"/>
      <c r="AE10" s="113"/>
      <c r="AG10" s="159">
        <f>$C$16</f>
        <v>1</v>
      </c>
      <c r="AH10" s="160"/>
      <c r="AI10" s="159">
        <f>$C$24</f>
        <v>17</v>
      </c>
      <c r="AJ10" s="160"/>
      <c r="AK10" s="454" t="s">
        <v>49</v>
      </c>
      <c r="AL10" s="455"/>
      <c r="AN10" s="319"/>
      <c r="AO10" s="469"/>
      <c r="AP10" s="469"/>
      <c r="AQ10" s="471"/>
      <c r="AR10" s="469"/>
      <c r="AS10" s="472"/>
      <c r="AT10" s="291"/>
      <c r="AU10" s="291"/>
      <c r="AV10" s="290"/>
      <c r="AW10" s="291"/>
      <c r="AX10" s="291"/>
      <c r="AY10" s="290"/>
      <c r="BA10" s="313"/>
      <c r="BB10" s="313"/>
      <c r="BC10" s="313"/>
      <c r="BD10" s="313"/>
      <c r="BE10" s="313"/>
      <c r="BF10" s="313"/>
      <c r="BG10" s="313"/>
      <c r="BH10" s="313"/>
      <c r="BI10" s="313"/>
      <c r="BJ10" s="313"/>
      <c r="BK10" s="313"/>
      <c r="BL10" s="313"/>
      <c r="BM10" s="313"/>
      <c r="BN10" s="313"/>
      <c r="BO10" s="313"/>
      <c r="BP10" s="313"/>
      <c r="BQ10" s="313"/>
      <c r="BR10" s="313"/>
      <c r="BS10" s="313"/>
    </row>
    <row r="11" spans="2:71" ht="17.25" customHeight="1">
      <c r="B11" s="126"/>
      <c r="C11" s="465" t="s">
        <v>420</v>
      </c>
      <c r="D11" s="466"/>
      <c r="E11" s="466"/>
      <c r="F11" s="466"/>
      <c r="G11" s="466"/>
      <c r="H11" s="466"/>
      <c r="I11" s="467"/>
      <c r="J11" s="465" t="s">
        <v>421</v>
      </c>
      <c r="K11" s="466"/>
      <c r="L11" s="466"/>
      <c r="M11" s="466"/>
      <c r="N11" s="466"/>
      <c r="O11" s="466"/>
      <c r="P11" s="467"/>
      <c r="Q11" s="465" t="s">
        <v>422</v>
      </c>
      <c r="R11" s="466"/>
      <c r="S11" s="466"/>
      <c r="T11" s="466"/>
      <c r="U11" s="466"/>
      <c r="V11" s="466"/>
      <c r="W11" s="467"/>
      <c r="X11" s="465" t="s">
        <v>423</v>
      </c>
      <c r="Y11" s="466"/>
      <c r="Z11" s="466"/>
      <c r="AA11" s="466"/>
      <c r="AB11" s="466"/>
      <c r="AC11" s="466"/>
      <c r="AD11" s="467"/>
      <c r="AE11" s="113"/>
      <c r="AG11" s="109">
        <f>$C$18</f>
        <v>2</v>
      </c>
      <c r="AH11" s="161"/>
      <c r="AI11" s="109">
        <f>$C$26</f>
        <v>18</v>
      </c>
      <c r="AJ11" s="161"/>
      <c r="AK11" s="159">
        <f>$O$52</f>
        <v>33</v>
      </c>
      <c r="AL11" s="160"/>
      <c r="AN11" s="320" t="s">
        <v>424</v>
      </c>
      <c r="AO11" s="321" t="str">
        <f>IF(D7="","",D7)</f>
        <v>Joana P/Carla S (AE Sertã)</v>
      </c>
      <c r="AP11" s="322">
        <f>H7</f>
        <v>1</v>
      </c>
      <c r="AQ11" s="322">
        <f>IF(AP11="","",(IF(F16="",0,F16)+IF(F22="",0,F22)+IF(F27="",0,F27))-(IF(F17="",0,F17)+IF(F23="",0,F23)+IF(F26="",0,F26)))</f>
        <v>1</v>
      </c>
      <c r="AR11" s="322">
        <f>IF(AP11="","",(IF(F16="",0,SUM(G16:I16))+IF(F22="",0,SUM(G22:I22))+IF(F27="",0,SUM(G27:I27)))-(IF(F17="",0,SUM(G17:I17))+IF(F23="",0,SUM(G23:I23))+IF(F26="",0,SUM(G26:I26))))</f>
        <v>6</v>
      </c>
      <c r="AT11" s="291"/>
      <c r="AU11" s="291"/>
      <c r="AV11" s="290"/>
      <c r="AW11" s="291"/>
      <c r="AX11" s="291"/>
      <c r="AY11" s="290"/>
      <c r="BA11" s="313"/>
      <c r="BB11" s="313"/>
      <c r="BC11" s="313"/>
      <c r="BD11" s="313"/>
      <c r="BE11" s="313"/>
      <c r="BF11" s="313"/>
      <c r="BG11" s="313"/>
      <c r="BH11" s="313"/>
      <c r="BI11" s="313"/>
      <c r="BJ11" s="313"/>
      <c r="BK11" s="313"/>
      <c r="BL11" s="313"/>
      <c r="BM11" s="313"/>
      <c r="BN11" s="313"/>
      <c r="BO11" s="313"/>
      <c r="BP11" s="313"/>
      <c r="BQ11" s="313"/>
      <c r="BR11" s="313"/>
      <c r="BS11" s="313"/>
    </row>
    <row r="12" spans="2:71" ht="15" customHeight="1">
      <c r="B12" s="126"/>
      <c r="C12" s="13" t="s">
        <v>12</v>
      </c>
      <c r="D12" s="463" t="str">
        <f>IF(COUNTIF(H$7:H$10,"")&gt;2,"",IF(LARGE(H$7:H$10,1)&lt;&gt;LARGE(H$7:H$10,2),CHOOSE(MATCH(LARGE(H$7:H$10,1),H$7:H$10,0),D$7,D$8,D$9,D$10),"empate"))</f>
        <v>Joana P/Carla S (AE Sertã)</v>
      </c>
      <c r="E12" s="463"/>
      <c r="F12" s="463"/>
      <c r="G12" s="463"/>
      <c r="H12" s="463"/>
      <c r="I12" s="14"/>
      <c r="J12" s="13" t="s">
        <v>12</v>
      </c>
      <c r="K12" s="463" t="str">
        <f>IF(COUNTIF(O$7:O$10,"")&gt;2,"",IF(LARGE(O$7:O$10,1)&lt;&gt;LARGE(O$7:O$10,2),CHOOSE(MATCH(LARGE(O$7:O$10,1),O$7:O$10,0),K$7,K$8,K$9,K$10),"empate"))</f>
        <v/>
      </c>
      <c r="L12" s="463"/>
      <c r="M12" s="463"/>
      <c r="N12" s="463"/>
      <c r="O12" s="463"/>
      <c r="P12" s="14"/>
      <c r="Q12" s="13" t="s">
        <v>12</v>
      </c>
      <c r="R12" s="463" t="str">
        <f>IF(COUNTIF(V$7:V$10,"")&gt;2,"",IF(LARGE(V$7:V$10,1)&lt;&gt;LARGE(V$7:V$10,2),CHOOSE(MATCH(LARGE(V$7:V$10,1),V$7:V$10,0),R$7,R$8,R$9,R$10),"empate"))</f>
        <v/>
      </c>
      <c r="S12" s="463"/>
      <c r="T12" s="463"/>
      <c r="U12" s="463"/>
      <c r="V12" s="463"/>
      <c r="W12" s="14"/>
      <c r="X12" s="13" t="s">
        <v>12</v>
      </c>
      <c r="Y12" s="463" t="str">
        <f>IF(COUNTIF(AC$7:AC$10,"")&gt;2,"",IF(LARGE(AC$7:AC$10,1)&lt;&gt;LARGE(AC$7:AC$10,2),CHOOSE(MATCH(LARGE(AC$7:AC$10,1),AC$7:AC$10,0),Y$7,Y$8,Y$9,Y$10),"empate"))</f>
        <v/>
      </c>
      <c r="Z12" s="463"/>
      <c r="AA12" s="463"/>
      <c r="AB12" s="463"/>
      <c r="AC12" s="463"/>
      <c r="AD12" s="14"/>
      <c r="AE12" s="113"/>
      <c r="AG12" s="109">
        <f>$J$16</f>
        <v>3</v>
      </c>
      <c r="AH12" s="161"/>
      <c r="AI12" s="109">
        <f>$J$24</f>
        <v>19</v>
      </c>
      <c r="AJ12" s="161"/>
      <c r="AK12" s="109">
        <f>$O$60</f>
        <v>34</v>
      </c>
      <c r="AL12" s="161"/>
      <c r="AN12" s="323" t="s">
        <v>226</v>
      </c>
      <c r="AO12" s="321" t="str">
        <f>IF(D8="","",D8)</f>
        <v>A2</v>
      </c>
      <c r="AP12" s="324" t="str">
        <f>H8</f>
        <v/>
      </c>
      <c r="AQ12" s="324" t="str">
        <f>IF(AP12="","",(IF(F18="",0,F18)+IF(F23="",0,F23)+IF(F24="",0,F24))-(IF(F19="",0,F19)+IF(F22="",0,F22)+IF(F25="",0,F25)))</f>
        <v/>
      </c>
      <c r="AR12" s="324" t="str">
        <f>IF(AP12="","",(IF(F18="",0,SUM(G18:I18))+IF(F23="",0,SUM(G23:I23))+IF(F24="",0,SUM(G24:I24)))-(IF(F19="",0,SUM(G19:I19))+IF(F22="",0,SUM(G22:I22))+IF(F25="",0,SUM(G25:I25))))</f>
        <v/>
      </c>
      <c r="AS12" s="290"/>
      <c r="AT12" s="291"/>
      <c r="AU12" s="291"/>
      <c r="AV12" s="290"/>
      <c r="AW12" s="291"/>
      <c r="AX12" s="291"/>
      <c r="AY12" s="290"/>
      <c r="BA12" s="175"/>
      <c r="BB12" s="175"/>
    </row>
    <row r="13" spans="2:71" ht="15" customHeight="1">
      <c r="B13" s="126"/>
      <c r="C13" s="13" t="s">
        <v>13</v>
      </c>
      <c r="D13" s="463" t="str">
        <f>IF(COUNTIF(H$7:H$10,"")&gt;2,"",IF(COUNTIF(H$7:H$10,"")=2,CHOOSE(MATCH(LARGE(H$7:H$10,2),H$7:H$10,0),D$7,D$8,D$9,D$10),IF(AND(LARGE(H$7:H$10,2)&lt;&gt;LARGE(H$7:H$10,1),LARGE(H$7:H$10,2)&lt;&gt;LARGE(H$7:H$10,3)),CHOOSE(MATCH(LARGE(H$7:H$10,2),H$7:H$10,0),D$7,D$8,D$9,D$10),"empate")))</f>
        <v>A4</v>
      </c>
      <c r="E13" s="463"/>
      <c r="F13" s="463"/>
      <c r="G13" s="463"/>
      <c r="H13" s="463"/>
      <c r="I13" s="14"/>
      <c r="J13" s="13" t="s">
        <v>13</v>
      </c>
      <c r="K13" s="463" t="str">
        <f>IF(COUNTIF(O$7:O$10,"")&gt;2,"",IF(COUNTIF(O$7:O$10,"")=2,CHOOSE(MATCH(LARGE(O$7:O$10,2),O$7:O$10,0),K$7,K$8,K$9,K$10),IF(AND(LARGE(O$7:O$10,2)&lt;&gt;LARGE(O$7:O$10,1),LARGE(O$7:O$10,2)&lt;&gt;LARGE(O$7:O$10,3)),CHOOSE(MATCH(LARGE(O$7:O$10,2),O$7:O$10,0),K$7,K$8,K$9,K$10),"empate")))</f>
        <v/>
      </c>
      <c r="L13" s="463"/>
      <c r="M13" s="463"/>
      <c r="N13" s="463"/>
      <c r="O13" s="463"/>
      <c r="P13" s="14"/>
      <c r="Q13" s="13" t="s">
        <v>13</v>
      </c>
      <c r="R13" s="463" t="str">
        <f>IF(COUNTIF(V$7:V$10,"")&gt;2,"",IF(COUNTIF(V$7:V$10,"")=2,CHOOSE(MATCH(LARGE(V$7:V$10,2),V$7:V$10,0),R$7,R$8,R$9,R$10),IF(AND(LARGE(V$7:V$10,2)&lt;&gt;LARGE(V$7:V$10,1),LARGE(V$7:V$10,2)&lt;&gt;LARGE(V$7:V$10,3)),CHOOSE(MATCH(LARGE(V$7:V$10,2),V$7:V$10,0),R$7,R$8,R$9,R$10),"empate")))</f>
        <v/>
      </c>
      <c r="S13" s="463"/>
      <c r="T13" s="463"/>
      <c r="U13" s="463"/>
      <c r="V13" s="463"/>
      <c r="W13" s="14"/>
      <c r="X13" s="13" t="s">
        <v>13</v>
      </c>
      <c r="Y13" s="463" t="str">
        <f>IF(COUNTIF(AC$7:AC$10,"")&gt;2,"",IF(COUNTIF(AC$7:AC$10,"")=2,CHOOSE(MATCH(LARGE(AC$7:AC$10,2),AC$7:AC$10,0),Y$7,Y$8,Y$9,Y$10),IF(AND(LARGE(AC$7:AC$10,2)&lt;&gt;LARGE(AC$7:AC$10,1),LARGE(AC$7:AC$10,2)&lt;&gt;LARGE(AC$7:AC$10,3)),CHOOSE(MATCH(LARGE(AC$7:AC$10,2),AC$7:AC$10,0),Y$7,Y$8,Y$9,Y$10),"empate")))</f>
        <v/>
      </c>
      <c r="Z13" s="463"/>
      <c r="AA13" s="463"/>
      <c r="AB13" s="463"/>
      <c r="AC13" s="463"/>
      <c r="AD13" s="14"/>
      <c r="AE13" s="113"/>
      <c r="AG13" s="109">
        <f>$J$18</f>
        <v>4</v>
      </c>
      <c r="AH13" s="161"/>
      <c r="AI13" s="109">
        <f>$J$26</f>
        <v>20</v>
      </c>
      <c r="AJ13" s="161"/>
      <c r="AK13" s="109">
        <f>$V$56</f>
        <v>35</v>
      </c>
      <c r="AL13" s="161"/>
      <c r="AN13" s="323" t="s">
        <v>227</v>
      </c>
      <c r="AO13" s="321" t="str">
        <f>IF(D9="","",D9)</f>
        <v>A3</v>
      </c>
      <c r="AP13" s="324" t="str">
        <f>H9</f>
        <v/>
      </c>
      <c r="AQ13" s="324" t="str">
        <f>IF(AP13="","",(IF(F19="",0,F19)+IF(F21="",0,F21)+IF(F26="",0,F26))-(IF(F18="",0,F18)+IF(F20="",0,F20)+IF(F27="",0,F27)))</f>
        <v/>
      </c>
      <c r="AR13" s="324" t="str">
        <f>IF(AP13="","",(IF(F19="",0,SUM(G19:I19))+IF(F21="",0,SUM(G21:I21))+IF(F26="",0,SUM(G26:I26)))-(IF(F18="",0,SUM(G18:I18))+IF(F20="",0,SUM(G20:I20))+IF(F27="",0,SUM(G27:I27))))</f>
        <v/>
      </c>
      <c r="AS13" s="290"/>
      <c r="AT13" s="291"/>
      <c r="AU13" s="291"/>
      <c r="AV13" s="290"/>
      <c r="AW13" s="291"/>
      <c r="AX13" s="291"/>
      <c r="AY13" s="290"/>
    </row>
    <row r="14" spans="2:71" ht="15" customHeight="1" thickBot="1">
      <c r="B14" s="126"/>
      <c r="C14" s="6" t="s">
        <v>14</v>
      </c>
      <c r="D14" s="464" t="str">
        <f>IF(COUNTIF(H$7:H$10,"")&gt;=2,"",IF(COUNTIF(H$7:H$10,"")=1,IF(LARGE(H$7:H$10,3)&lt;&gt;LARGE(H$7:H$10,2),CHOOSE(MATCH(LARGE(H$7:H$10,3),H$7:H$10,0),D$7,D$8,D$9,D$10),"empate"),IF(AND(LARGE(H$7:H$10,3)&lt;&gt;LARGE(H$7:H$10,2),LARGE(H$7:H$10,3)&lt;&gt;LARGE(H$7:H$10,4)),CHOOSE(MATCH(LARGE(H$7:H$10,3),H$7:H$10,0),D$7,D$8,D$9,D$10),"empate")))</f>
        <v/>
      </c>
      <c r="E14" s="464"/>
      <c r="F14" s="464"/>
      <c r="G14" s="464"/>
      <c r="H14" s="464"/>
      <c r="I14" s="12"/>
      <c r="J14" s="15" t="s">
        <v>14</v>
      </c>
      <c r="K14" s="464" t="str">
        <f>IF(COUNTIF(O$7:O$10,"")&gt;=2,"",IF(COUNTIF(O$7:O$10,"")=1,IF(LARGE(O$7:O$10,3)&lt;&gt;LARGE(O$7:O$10,2),CHOOSE(MATCH(LARGE(O$7:O$10,3),O$7:O$10,0),K$7,K$8,K$9,K$10),"empate"),IF(AND(LARGE(O$7:O$10,3)&lt;&gt;LARGE(O$7:O$10,2),LARGE(O$7:O$10,3)&lt;&gt;LARGE(O$7:O$10,4)),CHOOSE(MATCH(LARGE(O$7:O$10,3),O$7:O$10,0),K$7,K$8,K$9,K$10),"empate")))</f>
        <v/>
      </c>
      <c r="L14" s="464"/>
      <c r="M14" s="464"/>
      <c r="N14" s="464"/>
      <c r="O14" s="464"/>
      <c r="P14" s="16"/>
      <c r="Q14" s="6" t="s">
        <v>14</v>
      </c>
      <c r="R14" s="464" t="str">
        <f>IF(COUNTIF(V$7:V$10,"")&gt;=2,"",IF(COUNTIF(V$7:V$10,"")=1,IF(LARGE(V$7:V$10,3)&lt;&gt;LARGE(V$7:V$10,2),CHOOSE(MATCH(LARGE(V$7:V$10,3),V$7:V$10,0),R$7,R$8,R$9,R$10),"empate"),IF(AND(LARGE(V$7:V$10,3)&lt;&gt;LARGE(V$7:V$10,2),LARGE(V$7:V$10,3)&lt;&gt;LARGE(V$7:V$10,4)),CHOOSE(MATCH(LARGE(V$7:V$10,3),V$7:V$10,0),R$7,R$8,R$9,R$10),"empate")))</f>
        <v/>
      </c>
      <c r="S14" s="464"/>
      <c r="T14" s="464"/>
      <c r="U14" s="464"/>
      <c r="V14" s="464"/>
      <c r="W14" s="12"/>
      <c r="X14" s="6" t="s">
        <v>14</v>
      </c>
      <c r="Y14" s="464" t="str">
        <f>IF(COUNTIF(AC$7:AC$10,"")&gt;=2,"",IF(COUNTIF(AC$7:AC$10,"")=1,IF(LARGE(AC$7:AC$10,3)&lt;&gt;LARGE(AC$7:AC$10,2),CHOOSE(MATCH(LARGE(AC$7:AC$10,3),AC$7:AC$10,0),Y$7,Y$8,Y$9,Y$10),"empate"),IF(AND(LARGE(AC$7:AC$10,3)&lt;&gt;LARGE(AC$7:AC$10,2),LARGE(AC$7:AC$10,3)&lt;&gt;LARGE(AC$7:AC$10,4)),CHOOSE(MATCH(LARGE(AC$7:AC$10,3),AC$7:AC$10,0),Y$7,Y$8,Y$9,Y$10),"empate")))</f>
        <v/>
      </c>
      <c r="Z14" s="464"/>
      <c r="AA14" s="464"/>
      <c r="AB14" s="464"/>
      <c r="AC14" s="464"/>
      <c r="AD14" s="12"/>
      <c r="AE14" s="113"/>
      <c r="AG14" s="109">
        <f>$Q$16</f>
        <v>5</v>
      </c>
      <c r="AH14" s="161"/>
      <c r="AI14" s="109">
        <f>$Q$24</f>
        <v>21</v>
      </c>
      <c r="AJ14" s="161"/>
      <c r="AK14" s="130">
        <f>$W$56</f>
        <v>36</v>
      </c>
      <c r="AL14" s="163"/>
      <c r="AN14" s="325" t="s">
        <v>251</v>
      </c>
      <c r="AO14" s="326" t="str">
        <f>IF(D10="","",D10)</f>
        <v>A4</v>
      </c>
      <c r="AP14" s="324">
        <f>H10</f>
        <v>0</v>
      </c>
      <c r="AQ14" s="326">
        <f>IF(AP14="","",(IF(F17="",0,F17)+IF(F20="",0,F20)+IF(F25="",0,F25))-(IF(F16="",0,F16)+IF(F21="",0,F21)+IF(F24="",0,F24)))</f>
        <v>-1</v>
      </c>
      <c r="AR14" s="326">
        <f>IF(AP14="","",(IF(F17="",0,SUM(G17:I17))+IF(F20="",0,SUM(G20:I20))+IF(F25="",0,SUM(G25:I25)))-(IF(F16="",0,SUM(G16:I16))+IF(F21="",0,SUM(G21:I21))+IF(F24="",0,SUM(G24:I24))))</f>
        <v>-6</v>
      </c>
      <c r="AS14" s="290"/>
      <c r="AT14" s="291"/>
      <c r="AU14" s="291"/>
      <c r="AV14" s="290"/>
      <c r="AW14" s="291"/>
      <c r="AX14" s="291"/>
      <c r="AY14" s="290"/>
    </row>
    <row r="15" spans="2:71" ht="19.5" customHeight="1" thickBot="1">
      <c r="B15" s="126"/>
      <c r="C15" s="17" t="s">
        <v>15</v>
      </c>
      <c r="D15" s="453" t="str">
        <f>IF(COUNTIF(H$7:H$10,"")&gt;=1,"",IF(LARGE(H$7:H$10,4)&lt;&gt;LARGE(H$7:H$10,3),CHOOSE(MATCH(LARGE(H$7:H$10,4),H$7:H$10,0),D$7,D$8,D$9,D$10),"empate"))</f>
        <v/>
      </c>
      <c r="E15" s="453"/>
      <c r="F15" s="453"/>
      <c r="G15" s="453"/>
      <c r="H15" s="453"/>
      <c r="I15" s="18"/>
      <c r="J15" s="19" t="s">
        <v>15</v>
      </c>
      <c r="K15" s="453" t="str">
        <f>IF(COUNTIF(O$7:O$10,"")&gt;=1,"",IF(LARGE(O$7:O$10,4)&lt;&gt;LARGE(O$7:O$10,3),CHOOSE(MATCH(LARGE(O$7:O$10,4),O$7:O$10,0),K$7,K$8,K$9,K$10),"empate"))</f>
        <v/>
      </c>
      <c r="L15" s="453"/>
      <c r="M15" s="453"/>
      <c r="N15" s="453"/>
      <c r="O15" s="453"/>
      <c r="P15" s="20"/>
      <c r="Q15" s="17" t="s">
        <v>15</v>
      </c>
      <c r="R15" s="453" t="str">
        <f>IF(COUNTIF(V$7:V$10,"")&gt;=1,"",IF(LARGE(V$7:V$10,4)&lt;&gt;LARGE(V$7:V$10,3),CHOOSE(MATCH(LARGE(V$7:V$10,4),V$7:V$10,0),R$7,R$8,R$9,R$10),"empate"))</f>
        <v/>
      </c>
      <c r="S15" s="453"/>
      <c r="T15" s="453"/>
      <c r="U15" s="453"/>
      <c r="V15" s="453"/>
      <c r="W15" s="18"/>
      <c r="X15" s="17" t="s">
        <v>15</v>
      </c>
      <c r="Y15" s="453" t="str">
        <f>IF(COUNTIF(AC$7:AC$10,"")&gt;=1,"",IF(LARGE(AC$7:AC$10,4)&lt;&gt;LARGE(AC$7:AC$10,3),CHOOSE(MATCH(LARGE(AC$7:AC$10,4),AC$7:AC$10,0),Y$7,Y$8,Y$9,Y$10),"empate"))</f>
        <v/>
      </c>
      <c r="Z15" s="453"/>
      <c r="AA15" s="453"/>
      <c r="AB15" s="453"/>
      <c r="AC15" s="453"/>
      <c r="AD15" s="18"/>
      <c r="AE15" s="113"/>
      <c r="AG15" s="109">
        <f>$Q$18</f>
        <v>6</v>
      </c>
      <c r="AH15" s="161"/>
      <c r="AI15" s="109">
        <f>$Q$26</f>
        <v>22</v>
      </c>
      <c r="AJ15" s="161"/>
      <c r="AK15" s="454" t="s">
        <v>223</v>
      </c>
      <c r="AL15" s="455"/>
      <c r="AN15" s="327" t="s">
        <v>228</v>
      </c>
      <c r="AO15" s="328" t="str">
        <f>IF(K7="","",K7)</f>
        <v>B1</v>
      </c>
      <c r="AP15" s="329" t="str">
        <f>O7</f>
        <v/>
      </c>
      <c r="AQ15" s="329" t="str">
        <f>IF(AP15="","",(IF(M16="",0,M16)+IF(M22="",0,M22)+IF(M27="",0,M27))-(IF(M17="",0,M17)+IF(M23="",0,M23)+IF(M26="",0,M26)))</f>
        <v/>
      </c>
      <c r="AR15" s="329" t="str">
        <f>IF(AP15="","",(IF(M16="",0,SUM(N16:P16))+IF(M22="",0,SUM(N22:P22))+IF(M27="",0,SUM(N27:P27)))-(IF(M17="",0,SUM(N17:P17))+IF(M23="",0,SUM(N23:P23))+IF(M26="",0,SUM(N26:P26))))</f>
        <v/>
      </c>
      <c r="AS15" s="290"/>
      <c r="AT15" s="291"/>
      <c r="AU15" s="291"/>
      <c r="AV15" s="290"/>
      <c r="AW15" s="291"/>
      <c r="AX15" s="291"/>
      <c r="AY15" s="290"/>
    </row>
    <row r="16" spans="2:71" ht="15" customHeight="1">
      <c r="B16" s="126"/>
      <c r="C16" s="456">
        <v>1</v>
      </c>
      <c r="D16" s="458" t="str">
        <f>IF(OR(D7="",D10=""),"",D7)</f>
        <v>Joana P/Carla S (AE Sertã)</v>
      </c>
      <c r="E16" s="458"/>
      <c r="F16" s="21">
        <f>IF(COUNT(G16:I16)&lt;1,"",IF(SUM(IF(G16&gt;G17,1,0),IF(H16&gt;H17,1,0),IF(I16&gt;I17,1,0))&gt;2,"??",SUM(IF(G16&gt;G17,1,0),IF(H16&gt;H17,1,0),IF(I16&gt;I17,1,0))))</f>
        <v>2</v>
      </c>
      <c r="G16" s="138">
        <v>21</v>
      </c>
      <c r="H16" s="139">
        <v>15</v>
      </c>
      <c r="I16" s="140">
        <v>21</v>
      </c>
      <c r="J16" s="459">
        <v>3</v>
      </c>
      <c r="K16" s="458" t="str">
        <f>IF(OR(K7="",K10=""),"",K7)</f>
        <v>B1</v>
      </c>
      <c r="L16" s="458"/>
      <c r="M16" s="21" t="str">
        <f>IF(COUNT(N16:P16)&lt;1,"",IF(SUM(IF(N16&gt;N17,1,0),IF(O16&gt;O17,1,0),IF(P16&gt;P17,1,0))&gt;2,"??",SUM(IF(N16&gt;N17,1,0),IF(O16&gt;O17,1,0),IF(P16&gt;P17,1,0))))</f>
        <v/>
      </c>
      <c r="N16" s="138"/>
      <c r="O16" s="139"/>
      <c r="P16" s="140"/>
      <c r="Q16" s="459">
        <v>5</v>
      </c>
      <c r="R16" s="458" t="str">
        <f>IF(OR(R7="",R10=""),"",R7)</f>
        <v>C1</v>
      </c>
      <c r="S16" s="458"/>
      <c r="T16" s="21" t="str">
        <f>IF(COUNT(U16:W16)&lt;1,"",IF(SUM(IF(U16&gt;U17,1,0),IF(V16&gt;V17,1,0),IF(W16&gt;W17,1,0))&gt;2,"??",SUM(IF(U16&gt;U17,1,0),IF(V16&gt;V17,1,0),IF(W16&gt;W17,1,0))))</f>
        <v/>
      </c>
      <c r="U16" s="138"/>
      <c r="V16" s="139"/>
      <c r="W16" s="140"/>
      <c r="X16" s="459">
        <v>7</v>
      </c>
      <c r="Y16" s="458" t="str">
        <f>IF(OR(Y7="",Y10=""),"",Y7)</f>
        <v>D1</v>
      </c>
      <c r="Z16" s="458"/>
      <c r="AA16" s="21" t="str">
        <f>IF(COUNT(AB16:AD16)&lt;1,"",IF(SUM(IF(AB16&gt;AB17,1,0),IF(AC16&gt;AC17,1,0),IF(AD16&gt;AD17,1,0))&gt;2,"??",SUM(IF(AB16&gt;AB17,1,0),IF(AC16&gt;AC17,1,0),IF(AD16&gt;AD17,1,0))))</f>
        <v/>
      </c>
      <c r="AB16" s="138"/>
      <c r="AC16" s="139"/>
      <c r="AD16" s="140"/>
      <c r="AE16" s="461" t="s">
        <v>43</v>
      </c>
      <c r="AG16" s="109">
        <f>$X$16</f>
        <v>7</v>
      </c>
      <c r="AH16" s="161"/>
      <c r="AI16" s="109">
        <f>$X$24</f>
        <v>23</v>
      </c>
      <c r="AJ16" s="161"/>
      <c r="AK16" s="159">
        <f>$O$70</f>
        <v>37</v>
      </c>
      <c r="AL16" s="160"/>
      <c r="AN16" s="330" t="s">
        <v>229</v>
      </c>
      <c r="AO16" s="331" t="str">
        <f>IF(K8="","",K8)</f>
        <v>B2</v>
      </c>
      <c r="AP16" s="331" t="str">
        <f>O8</f>
        <v/>
      </c>
      <c r="AQ16" s="331" t="str">
        <f>IF(AP16="","",(IF(M18="",0,M18)+IF(M23="",0,M23)+IF(M24="",0,M24))-(IF(M19="",0,M19)+IF(M22="",0,M22)+IF(M25="",0,M25)))</f>
        <v/>
      </c>
      <c r="AR16" s="331" t="str">
        <f>IF(AP16="","",(IF(M18="",0,SUM(N18:P18))+IF(M23="",0,SUM(N23:P23))+IF(M24="",0,SUM(N24:P24)))-(IF(M19="",0,SUM(N19:P19))+IF(M22="",0,SUM(N22:P22))+IF(M25="",0,SUM(N25:P25))))</f>
        <v/>
      </c>
      <c r="AS16" s="290"/>
      <c r="AT16" s="317"/>
      <c r="AU16" s="291"/>
      <c r="AV16" s="290"/>
      <c r="AW16" s="291"/>
      <c r="AX16" s="291"/>
      <c r="AY16" s="290"/>
    </row>
    <row r="17" spans="2:51" ht="15" customHeight="1">
      <c r="B17" s="126"/>
      <c r="C17" s="457"/>
      <c r="D17" s="437" t="str">
        <f>IF(OR(D7="",D10=""),"",D10)</f>
        <v>A4</v>
      </c>
      <c r="E17" s="437"/>
      <c r="F17" s="22">
        <f>IF(COUNT(G17:I17)&lt;1,"",IF(SUM(IF(G17&gt;G16,1,0),IF(H17&gt;H16,1,0),IF(I17&gt;I16,1,0))&gt;2,"??",SUM(IF(G17&gt;G16,1,0),IF(H17&gt;H16,1,0),IF(I17&gt;I16,1,0))))</f>
        <v>1</v>
      </c>
      <c r="G17" s="141">
        <v>12</v>
      </c>
      <c r="H17" s="142">
        <v>21</v>
      </c>
      <c r="I17" s="143">
        <v>18</v>
      </c>
      <c r="J17" s="460"/>
      <c r="K17" s="437" t="str">
        <f>IF(OR(K7="",K10=""),"",K10)</f>
        <v>B4</v>
      </c>
      <c r="L17" s="437"/>
      <c r="M17" s="22" t="str">
        <f>IF(COUNT(N17:P17)&lt;1,"",IF(SUM(IF(N17&gt;N16,1,0),IF(O17&gt;O16,1,0),IF(P17&gt;P16,1,0))&gt;2,"??",SUM(IF(N17&gt;N16,1,0),IF(O17&gt;O16,1,0),IF(P17&gt;P16,1,0))))</f>
        <v/>
      </c>
      <c r="N17" s="141"/>
      <c r="O17" s="142"/>
      <c r="P17" s="143"/>
      <c r="Q17" s="460"/>
      <c r="R17" s="437" t="str">
        <f>IF(OR(R7="",R10=""),"",R10)</f>
        <v>C4</v>
      </c>
      <c r="S17" s="437"/>
      <c r="T17" s="22" t="str">
        <f>IF(COUNT(U17:W17)&lt;1,"",IF(SUM(IF(U17&gt;U16,1,0),IF(V17&gt;V16,1,0),IF(W17&gt;W16,1,0))&gt;2,"??",SUM(IF(U17&gt;U16,1,0),IF(V17&gt;V16,1,0),IF(W17&gt;W16,1,0))))</f>
        <v/>
      </c>
      <c r="U17" s="141"/>
      <c r="V17" s="142"/>
      <c r="W17" s="143"/>
      <c r="X17" s="460"/>
      <c r="Y17" s="437" t="str">
        <f>IF(OR(Y7="",Y10=""),"",Y10)</f>
        <v>D4</v>
      </c>
      <c r="Z17" s="437"/>
      <c r="AA17" s="22" t="str">
        <f>IF(COUNT(AB17:AD17)&lt;1,"",IF(SUM(IF(AB17&gt;AB16,1,0),IF(AC17&gt;AC16,1,0),IF(AD17&gt;AD16,1,0))&gt;2,"??",SUM(IF(AB17&gt;AB16,1,0),IF(AC17&gt;AC16,1,0),IF(AD17&gt;AD16,1,0))))</f>
        <v/>
      </c>
      <c r="AB17" s="141"/>
      <c r="AC17" s="142"/>
      <c r="AD17" s="143"/>
      <c r="AE17" s="435"/>
      <c r="AG17" s="109">
        <f>$X$18</f>
        <v>8</v>
      </c>
      <c r="AH17" s="161"/>
      <c r="AI17" s="109">
        <f>$X$26</f>
        <v>24</v>
      </c>
      <c r="AJ17" s="161"/>
      <c r="AK17" s="109">
        <f>$O$78</f>
        <v>38</v>
      </c>
      <c r="AL17" s="161"/>
      <c r="AN17" s="330" t="s">
        <v>230</v>
      </c>
      <c r="AO17" s="331" t="str">
        <f>IF(K9="","",K9)</f>
        <v>B3</v>
      </c>
      <c r="AP17" s="331" t="str">
        <f>O9</f>
        <v/>
      </c>
      <c r="AQ17" s="331" t="str">
        <f>IF(AP17="","",(IF(M19="",0,M19)+IF(M21="",0,M21)+IF(M26="",0,M26))-(IF(M18="",0,M18)+IF(M20="",0,M20)+IF(M27="",0,M27)))</f>
        <v/>
      </c>
      <c r="AR17" s="331" t="str">
        <f>IF(AP17="","",(IF(M19="",0,SUM(N19:P19))+IF(M21="",0,SUM(N21:P21))+IF(M26="",0,SUM(N26:P26)))-(IF(M18="",0,SUM(N18:P18))+IF(M20="",0,SUM(N20:P20))+IF(M27="",0,SUM(N27:P27))))</f>
        <v/>
      </c>
      <c r="AS17" s="290"/>
      <c r="AT17" s="291"/>
      <c r="AU17" s="291"/>
      <c r="AV17" s="290"/>
      <c r="AW17" s="291"/>
      <c r="AX17" s="291"/>
      <c r="AY17" s="290"/>
    </row>
    <row r="18" spans="2:51" ht="15" customHeight="1">
      <c r="B18" s="126"/>
      <c r="C18" s="428">
        <v>2</v>
      </c>
      <c r="D18" s="430" t="str">
        <f>IF(OR(D8="",D9=""),"",D8)</f>
        <v>A2</v>
      </c>
      <c r="E18" s="430"/>
      <c r="F18" s="23" t="str">
        <f>IF(COUNT(G18:I18)&lt;1,"",IF(SUM(IF(G18&gt;G19,1,0),IF(H18&gt;H19,1,0),IF(I18&gt;I19,1,0))&gt;2,"??",SUM(IF(G18&gt;G19,1,0),IF(H18&gt;H19,1,0),IF(I18&gt;I19,1,0))))</f>
        <v/>
      </c>
      <c r="G18" s="144"/>
      <c r="H18" s="145"/>
      <c r="I18" s="146"/>
      <c r="J18" s="428">
        <v>4</v>
      </c>
      <c r="K18" s="430" t="str">
        <f>IF(OR(K8="",K9=""),"",K8)</f>
        <v>B2</v>
      </c>
      <c r="L18" s="430"/>
      <c r="M18" s="23" t="str">
        <f>IF(COUNT(N18:P18)&lt;1,"",IF(SUM(IF(N18&gt;N19,1,0),IF(O18&gt;O19,1,0),IF(P18&gt;P19,1,0))&gt;2,"??",SUM(IF(N18&gt;N19,1,0),IF(O18&gt;O19,1,0),IF(P18&gt;P19,1,0))))</f>
        <v/>
      </c>
      <c r="N18" s="144"/>
      <c r="O18" s="145"/>
      <c r="P18" s="146"/>
      <c r="Q18" s="428">
        <v>6</v>
      </c>
      <c r="R18" s="430" t="str">
        <f>IF(OR(R8="",R9=""),"",R8)</f>
        <v>C2</v>
      </c>
      <c r="S18" s="430"/>
      <c r="T18" s="23" t="str">
        <f>IF(COUNT(U18:W18)&lt;1,"",IF(SUM(IF(U18&gt;U19,1,0),IF(V18&gt;V19,1,0),IF(W18&gt;W19,1,0))&gt;2,"??",SUM(IF(U18&gt;U19,1,0),IF(V18&gt;V19,1,0),IF(W18&gt;W19,1,0))))</f>
        <v/>
      </c>
      <c r="U18" s="144"/>
      <c r="V18" s="145"/>
      <c r="W18" s="146"/>
      <c r="X18" s="428">
        <v>8</v>
      </c>
      <c r="Y18" s="430" t="str">
        <f>IF(OR(Y8="",Y9=""),"",Y8)</f>
        <v>D2</v>
      </c>
      <c r="Z18" s="430"/>
      <c r="AA18" s="23" t="str">
        <f>IF(COUNT(AB18:AD18)&lt;1,"",IF(SUM(IF(AB18&gt;AB19,1,0),IF(AC18&gt;AC19,1,0),IF(AD18&gt;AD19,1,0))&gt;2,"??",SUM(IF(AB18&gt;AB19,1,0),IF(AC18&gt;AC19,1,0),IF(AD18&gt;AD19,1,0))))</f>
        <v/>
      </c>
      <c r="AB18" s="144"/>
      <c r="AC18" s="145"/>
      <c r="AD18" s="146"/>
      <c r="AE18" s="435"/>
      <c r="AG18" s="131">
        <f>$C$20</f>
        <v>9</v>
      </c>
      <c r="AH18" s="162"/>
      <c r="AI18" s="131">
        <f>$H$31</f>
        <v>25</v>
      </c>
      <c r="AJ18" s="162"/>
      <c r="AK18" s="109">
        <f>$V$74</f>
        <v>39</v>
      </c>
      <c r="AL18" s="161"/>
      <c r="AN18" s="332" t="s">
        <v>231</v>
      </c>
      <c r="AO18" s="333" t="str">
        <f>IF(K10="","",K10)</f>
        <v>B4</v>
      </c>
      <c r="AP18" s="331" t="str">
        <f>O10</f>
        <v/>
      </c>
      <c r="AQ18" s="333" t="str">
        <f>IF(AP18="","",(IF(M17="",0,M17)+IF(M20="",0,M20)+IF(M25="",0,M25))-(IF(M16="",0,M16)+IF(M21="",0,M21)+IF(M24="",0,M24)))</f>
        <v/>
      </c>
      <c r="AR18" s="333" t="str">
        <f>IF(AP18="","",(IF(M17="",0,SUM(N17:P17))+IF(M20="",0,SUM(N20:P20))+IF(M25="",0,SUM(N25:P25)))-(IF(M16="",0,SUM(N16:P16))+IF(M21="",0,SUM(N21:P21))+IF(M24="",0,SUM(N24:P24))))</f>
        <v/>
      </c>
      <c r="AS18" s="290"/>
      <c r="AT18" s="291"/>
      <c r="AU18" s="291"/>
      <c r="AV18" s="290"/>
      <c r="AW18" s="291"/>
      <c r="AX18" s="291"/>
      <c r="AY18" s="290"/>
    </row>
    <row r="19" spans="2:51" ht="15" customHeight="1" thickBot="1">
      <c r="B19" s="126"/>
      <c r="C19" s="451"/>
      <c r="D19" s="452" t="str">
        <f>IF(OR(D8="",D9=""),"",D9)</f>
        <v>A3</v>
      </c>
      <c r="E19" s="452"/>
      <c r="F19" s="24" t="str">
        <f>IF(COUNT(G19:I19)&lt;1,"",IF(SUM(IF(G19&gt;G18,1,0),IF(H19&gt;H18,1,0),IF(I19&gt;I18,1,0))&gt;2,"??",SUM(IF(G19&gt;G18,1,0),IF(H19&gt;H18,1,0),IF(I19&gt;I18,1,0))))</f>
        <v/>
      </c>
      <c r="G19" s="147"/>
      <c r="H19" s="148"/>
      <c r="I19" s="149"/>
      <c r="J19" s="451"/>
      <c r="K19" s="452" t="str">
        <f>IF(OR(K8="",K9=""),"",K9)</f>
        <v>B3</v>
      </c>
      <c r="L19" s="452"/>
      <c r="M19" s="24" t="str">
        <f>IF(COUNT(N19:P19)&lt;1,"",IF(SUM(IF(N19&gt;N18,1,0),IF(O19&gt;O18,1,0),IF(P19&gt;P18,1,0))&gt;2,"??",SUM(IF(N19&gt;N18,1,0),IF(O19&gt;O18,1,0),IF(P19&gt;P18,1,0))))</f>
        <v/>
      </c>
      <c r="N19" s="147"/>
      <c r="O19" s="148"/>
      <c r="P19" s="149"/>
      <c r="Q19" s="451"/>
      <c r="R19" s="452" t="str">
        <f>IF(OR(R8="",R9=""),"",R9)</f>
        <v>C3</v>
      </c>
      <c r="S19" s="452"/>
      <c r="T19" s="24" t="str">
        <f>IF(COUNT(U19:W19)&lt;1,"",IF(SUM(IF(U19&gt;U18,1,0),IF(V19&gt;V18,1,0),IF(W19&gt;W18,1,0))&gt;2,"??",SUM(IF(U19&gt;U18,1,0),IF(V19&gt;V18,1,0),IF(W19&gt;W18,1,0))))</f>
        <v/>
      </c>
      <c r="U19" s="147"/>
      <c r="V19" s="148"/>
      <c r="W19" s="149"/>
      <c r="X19" s="451"/>
      <c r="Y19" s="452" t="str">
        <f>IF(OR(Y8="",Y9=""),"",Y9)</f>
        <v>D3</v>
      </c>
      <c r="Z19" s="452"/>
      <c r="AA19" s="24" t="str">
        <f>IF(COUNT(AB19:AD19)&lt;1,"",IF(SUM(IF(AB19&gt;AB18,1,0),IF(AC19&gt;AC18,1,0),IF(AD19&gt;AD18,1,0))&gt;2,"??",SUM(IF(AB19&gt;AB18,1,0),IF(AC19&gt;AC18,1,0),IF(AD19&gt;AD18,1,0))))</f>
        <v/>
      </c>
      <c r="AB19" s="147"/>
      <c r="AC19" s="148"/>
      <c r="AD19" s="149"/>
      <c r="AE19" s="462"/>
      <c r="AG19" s="109">
        <f>$C$22</f>
        <v>10</v>
      </c>
      <c r="AH19" s="161"/>
      <c r="AI19" s="109">
        <f>$H$35</f>
        <v>26</v>
      </c>
      <c r="AJ19" s="161"/>
      <c r="AK19" s="130">
        <f>$W$74</f>
        <v>40</v>
      </c>
      <c r="AL19" s="163"/>
      <c r="AN19" s="334" t="s">
        <v>232</v>
      </c>
      <c r="AO19" s="322" t="str">
        <f>IF(R7="","",R7)</f>
        <v>C1</v>
      </c>
      <c r="AP19" s="322" t="str">
        <f>V7</f>
        <v/>
      </c>
      <c r="AQ19" s="335" t="str">
        <f>IF(AP19="","",(IF(T16="",0,T16)+IF(T22="",0,T22)+IF(T27="",0,T27))-(IF(T17="",0,T17)+IF(T23="",0,T23)+IF(T26="",0,T26)))</f>
        <v/>
      </c>
      <c r="AR19" s="322" t="str">
        <f>IF(AP19="","",(IF(T16="",0,SUM(U16:W16))+IF(T22="",0,SUM(U22:W22))+IF(T27="",0,SUM(U27:W27)))-(IF(T17="",0,SUM(U17:W17))+IF(T23="",0,SUM(U23:W23))+IF(T26="",0,SUM(U26:W26))))</f>
        <v/>
      </c>
      <c r="AS19" s="290"/>
      <c r="AT19" s="291"/>
      <c r="AU19" s="291"/>
      <c r="AV19" s="290"/>
      <c r="AW19" s="291"/>
      <c r="AX19" s="291"/>
      <c r="AY19" s="290"/>
    </row>
    <row r="20" spans="2:51" ht="15" customHeight="1" thickTop="1" thickBot="1">
      <c r="B20" s="126"/>
      <c r="C20" s="448">
        <v>9</v>
      </c>
      <c r="D20" s="450" t="str">
        <f>IF(OR(D9="",D10=""),"",D10)</f>
        <v>A4</v>
      </c>
      <c r="E20" s="450"/>
      <c r="F20" s="25" t="str">
        <f>IF(COUNT(G20:I20)&lt;1,"",IF(SUM(IF(G20&gt;G21,1,0),IF(H20&gt;H21,1,0),IF(I20&gt;I21,1,0))&gt;2,"??",SUM(IF(G20&gt;G21,1,0),IF(H20&gt;H21,1,0),IF(I20&gt;I21,1,0))))</f>
        <v/>
      </c>
      <c r="G20" s="150"/>
      <c r="H20" s="151"/>
      <c r="I20" s="152"/>
      <c r="J20" s="448">
        <v>11</v>
      </c>
      <c r="K20" s="450" t="str">
        <f>IF(OR(K9="",K10=""),"",K10)</f>
        <v>B4</v>
      </c>
      <c r="L20" s="450"/>
      <c r="M20" s="25" t="str">
        <f>IF(COUNT(N20:P20)&lt;1,"",IF(SUM(IF(N20&gt;N21,1,0),IF(O20&gt;O21,1,0),IF(P20&gt;P21,1,0))&gt;2,"??",SUM(IF(N20&gt;N21,1,0),IF(O20&gt;O21,1,0),IF(P20&gt;P21,1,0))))</f>
        <v/>
      </c>
      <c r="N20" s="150"/>
      <c r="O20" s="151"/>
      <c r="P20" s="152"/>
      <c r="Q20" s="448">
        <v>13</v>
      </c>
      <c r="R20" s="450" t="str">
        <f>IF(OR(R9="",R10=""),"",R10)</f>
        <v>C4</v>
      </c>
      <c r="S20" s="450"/>
      <c r="T20" s="25" t="str">
        <f>IF(COUNT(U20:W20)&lt;1,"",IF(SUM(IF(U20&gt;U21,1,0),IF(V20&gt;V21,1,0),IF(W20&gt;W21,1,0))&gt;2,"??",SUM(IF(U20&gt;U21,1,0),IF(V20&gt;V21,1,0),IF(W20&gt;W21,1,0))))</f>
        <v/>
      </c>
      <c r="U20" s="150"/>
      <c r="V20" s="151"/>
      <c r="W20" s="152"/>
      <c r="X20" s="448">
        <v>15</v>
      </c>
      <c r="Y20" s="450" t="str">
        <f>IF(OR(Y9="",Y10=""),"",Y10)</f>
        <v>D4</v>
      </c>
      <c r="Z20" s="450"/>
      <c r="AA20" s="25" t="str">
        <f>IF(COUNT(AB20:AD20)&lt;1,"",IF(SUM(IF(AB20&gt;AB21,1,0),IF(AC20&gt;AC21,1,0),IF(AD20&gt;AD21,1,0))&gt;2,"??",SUM(IF(AB20&gt;AB21,1,0),IF(AC20&gt;AC21,1,0),IF(AD20&gt;AD21,1,0))))</f>
        <v/>
      </c>
      <c r="AB20" s="150"/>
      <c r="AC20" s="151"/>
      <c r="AD20" s="152"/>
      <c r="AE20" s="442" t="s">
        <v>44</v>
      </c>
      <c r="AG20" s="109">
        <f>$J$20</f>
        <v>11</v>
      </c>
      <c r="AH20" s="161"/>
      <c r="AI20" s="109">
        <f>$H$39</f>
        <v>27</v>
      </c>
      <c r="AJ20" s="161"/>
      <c r="AK20" s="445" t="s">
        <v>246</v>
      </c>
      <c r="AL20" s="446"/>
      <c r="AN20" s="323" t="s">
        <v>233</v>
      </c>
      <c r="AO20" s="324" t="str">
        <f>IF(R8="","",R8)</f>
        <v>C2</v>
      </c>
      <c r="AP20" s="324" t="str">
        <f>V8</f>
        <v/>
      </c>
      <c r="AQ20" s="336" t="str">
        <f>IF(AP20="","",(IF(T18="",0,T18)+IF(T23="",0,T23)+IF(T24="",0,T24))-(IF(T19="",0,T19)+IF(T22="",0,T22)+IF(T25="",0,T25)))</f>
        <v/>
      </c>
      <c r="AR20" s="324" t="str">
        <f>IF(AP20="","",(IF(T18="",0,SUM(U18:W18))+IF(T23="",0,SUM(U23:W23))+IF(T24="",0,SUM(U24:W24)))-(IF(T19="",0,SUM(U19:W19))+IF(T22="",0,SUM(U22:W22))+IF(T25="",0,SUM(U25:W25))))</f>
        <v/>
      </c>
      <c r="AS20" s="290"/>
      <c r="AT20" s="291"/>
      <c r="AU20" s="291"/>
      <c r="AV20" s="290"/>
      <c r="AW20" s="291"/>
      <c r="AX20" s="291"/>
      <c r="AY20" s="290"/>
    </row>
    <row r="21" spans="2:51" ht="15" customHeight="1">
      <c r="B21" s="126"/>
      <c r="C21" s="449"/>
      <c r="D21" s="447" t="str">
        <f>IF(OR(D9="",D10=""),"",D9)</f>
        <v>A3</v>
      </c>
      <c r="E21" s="447"/>
      <c r="F21" s="26" t="str">
        <f>IF(COUNT(G21:I21)&lt;1,"",IF(SUM(IF(G21&gt;G20,1,0),IF(H21&gt;H20,1,0),IF(I21&gt;I20,1,0))&gt;2,"??",SUM(IF(G21&gt;G20,1,0),IF(H21&gt;H20,1,0),IF(I21&gt;I20,1,0))))</f>
        <v/>
      </c>
      <c r="G21" s="141"/>
      <c r="H21" s="142"/>
      <c r="I21" s="143"/>
      <c r="J21" s="449"/>
      <c r="K21" s="447" t="str">
        <f>IF(OR(K9="",K10=""),"",K9)</f>
        <v>B3</v>
      </c>
      <c r="L21" s="447"/>
      <c r="M21" s="26" t="str">
        <f>IF(COUNT(N21:P21)&lt;1,"",IF(SUM(IF(N21&gt;N20,1,0),IF(O21&gt;O20,1,0),IF(P21&gt;P20,1,0))&gt;2,"??",SUM(IF(N21&gt;N20,1,0),IF(O21&gt;O20,1,0),IF(P21&gt;P20,1,0))))</f>
        <v/>
      </c>
      <c r="N21" s="141"/>
      <c r="O21" s="142"/>
      <c r="P21" s="143"/>
      <c r="Q21" s="449"/>
      <c r="R21" s="447" t="str">
        <f>IF(OR(R9="",R10=""),"",R9)</f>
        <v>C3</v>
      </c>
      <c r="S21" s="447"/>
      <c r="T21" s="26" t="str">
        <f>IF(COUNT(U21:W21)&lt;1,"",IF(SUM(IF(U21&gt;U20,1,0),IF(V21&gt;V20,1,0),IF(W21&gt;W20,1,0))&gt;2,"??",SUM(IF(U21&gt;U20,1,0),IF(V21&gt;V20,1,0),IF(W21&gt;W20,1,0))))</f>
        <v/>
      </c>
      <c r="U21" s="141"/>
      <c r="V21" s="142"/>
      <c r="W21" s="143"/>
      <c r="X21" s="449"/>
      <c r="Y21" s="447" t="str">
        <f>IF(OR(Y9="",Y10=""),"",Y9)</f>
        <v>D3</v>
      </c>
      <c r="Z21" s="447"/>
      <c r="AA21" s="26" t="str">
        <f>IF(COUNT(AB21:AD21)&lt;1,"",IF(SUM(IF(AB21&gt;AB20,1,0),IF(AC21&gt;AC20,1,0),IF(AD21&gt;AD20,1,0))&gt;2,"??",SUM(IF(AB21&gt;AB20,1,0),IF(AC21&gt;AC20,1,0),IF(AD21&gt;AD20,1,0))))</f>
        <v/>
      </c>
      <c r="AB21" s="141"/>
      <c r="AC21" s="142"/>
      <c r="AD21" s="143"/>
      <c r="AE21" s="443"/>
      <c r="AG21" s="109">
        <f>$J$22</f>
        <v>12</v>
      </c>
      <c r="AH21" s="161"/>
      <c r="AI21" s="109">
        <f>$H$43</f>
        <v>28</v>
      </c>
      <c r="AJ21" s="161"/>
      <c r="AK21" s="159">
        <f>$O$88</f>
        <v>41</v>
      </c>
      <c r="AL21" s="160"/>
      <c r="AN21" s="323" t="s">
        <v>234</v>
      </c>
      <c r="AO21" s="324" t="str">
        <f>IF(R9="","",R9)</f>
        <v>C3</v>
      </c>
      <c r="AP21" s="324" t="str">
        <f>V9</f>
        <v/>
      </c>
      <c r="AQ21" s="336" t="str">
        <f>IF(AP21="","",(IF(T19="",0,T19)+IF(T21="",0,T21)+IF(T26="",0,T26))-(IF(T18="",0,T18)+IF(T20="",0,T20)+IF(T27="",0,T27)))</f>
        <v/>
      </c>
      <c r="AR21" s="324" t="str">
        <f>IF(AP21="","",(IF(T19="",0,SUM(U19:W19))+IF(T21="",0,SUM(U21:W21))+IF(T26="",0,SUM(U26:W26)))-(IF(T18="",0,SUM(U18:W18))+IF(T20="",0,SUM(U20:W20))+IF(T27="",0,SUM(U27:W27))))</f>
        <v/>
      </c>
      <c r="AS21" s="290"/>
      <c r="AT21" s="291"/>
      <c r="AU21" s="291"/>
      <c r="AV21" s="290"/>
      <c r="AW21" s="291"/>
      <c r="AX21" s="291"/>
      <c r="AY21" s="290"/>
    </row>
    <row r="22" spans="2:51" ht="15" customHeight="1">
      <c r="B22" s="126"/>
      <c r="C22" s="438">
        <v>10</v>
      </c>
      <c r="D22" s="440" t="str">
        <f>IF(OR(D7="",D8=""),"",D7)</f>
        <v>Joana P/Carla S (AE Sertã)</v>
      </c>
      <c r="E22" s="440"/>
      <c r="F22" s="27" t="str">
        <f>IF(COUNT(G22:I22)&lt;1,"",IF(SUM(IF(G22&gt;G23,1,0),IF(H22&gt;H23,1,0),IF(I22&gt;I23,1,0))&gt;2,"??",SUM(IF(G22&gt;G23,1,0),IF(H22&gt;H23,1,0),IF(I22&gt;I23,1,0))))</f>
        <v/>
      </c>
      <c r="G22" s="144"/>
      <c r="H22" s="145"/>
      <c r="I22" s="146"/>
      <c r="J22" s="438">
        <v>12</v>
      </c>
      <c r="K22" s="440" t="str">
        <f>IF(OR(K7="",K8=""),"",K7)</f>
        <v>B1</v>
      </c>
      <c r="L22" s="440"/>
      <c r="M22" s="27" t="str">
        <f>IF(COUNT(N22:P22)&lt;1,"",IF(SUM(IF(N22&gt;N23,1,0),IF(O22&gt;O23,1,0),IF(P22&gt;P23,1,0))&gt;2,"??",SUM(IF(N22&gt;N23,1,0),IF(O22&gt;O23,1,0),IF(P22&gt;P23,1,0))))</f>
        <v/>
      </c>
      <c r="N22" s="144"/>
      <c r="O22" s="145"/>
      <c r="P22" s="146"/>
      <c r="Q22" s="438">
        <v>14</v>
      </c>
      <c r="R22" s="440" t="str">
        <f>IF(OR(R7="",R8=""),"",R7)</f>
        <v>C1</v>
      </c>
      <c r="S22" s="440"/>
      <c r="T22" s="27" t="str">
        <f>IF(COUNT(U22:W22)&lt;1,"",IF(SUM(IF(U22&gt;U23,1,0),IF(V22&gt;V23,1,0),IF(W22&gt;W23,1,0))&gt;2,"??",SUM(IF(U22&gt;U23,1,0),IF(V22&gt;V23,1,0),IF(W22&gt;W23,1,0))))</f>
        <v/>
      </c>
      <c r="U22" s="144"/>
      <c r="V22" s="145"/>
      <c r="W22" s="146"/>
      <c r="X22" s="438">
        <v>16</v>
      </c>
      <c r="Y22" s="440" t="str">
        <f>IF(OR(Y7="",Y8=""),"",Y7)</f>
        <v>D1</v>
      </c>
      <c r="Z22" s="440"/>
      <c r="AA22" s="27" t="str">
        <f>IF(COUNT(AB22:AD22)&lt;1,"",IF(SUM(IF(AB22&gt;AB23,1,0),IF(AC22&gt;AC23,1,0),IF(AD22&gt;AD23,1,0))&gt;2,"??",SUM(IF(AB22&gt;AB23,1,0),IF(AC22&gt;AC23,1,0),IF(AD22&gt;AD23,1,0))))</f>
        <v/>
      </c>
      <c r="AB22" s="144"/>
      <c r="AC22" s="145"/>
      <c r="AD22" s="146"/>
      <c r="AE22" s="443"/>
      <c r="AG22" s="109">
        <f>$Q$20</f>
        <v>13</v>
      </c>
      <c r="AH22" s="161"/>
      <c r="AI22" s="109">
        <f>$O$33</f>
        <v>29</v>
      </c>
      <c r="AJ22" s="161"/>
      <c r="AK22" s="109">
        <f>$O$96</f>
        <v>42</v>
      </c>
      <c r="AL22" s="161"/>
      <c r="AN22" s="337" t="s">
        <v>235</v>
      </c>
      <c r="AO22" s="326" t="str">
        <f>IF(R10="","",R10)</f>
        <v>C4</v>
      </c>
      <c r="AP22" s="326" t="str">
        <f>V10</f>
        <v/>
      </c>
      <c r="AQ22" s="338" t="str">
        <f>IF(AP22="","",(IF(T17="",0,T17)+IF(T20="",0,T20)+IF(T25="",0,T25))-(IF(T16="",0,T16)+IF(T21="",0,T21)+IF(T24="",0,T24)))</f>
        <v/>
      </c>
      <c r="AR22" s="326" t="str">
        <f>IF(AP22="","",(IF(T17="",0,SUM(U17:W17))+IF(T20="",0,SUM(U20:W20))+IF(T25="",0,SUM(U25:W25)))-(IF(T16="",0,SUM(U16:W16))+IF(T21="",0,SUM(U21:W21))+IF(T24="",0,SUM(U24:W24))))</f>
        <v/>
      </c>
      <c r="AS22" s="290"/>
      <c r="AT22" s="291"/>
      <c r="AU22" s="291"/>
      <c r="AV22" s="290"/>
      <c r="AW22" s="291"/>
      <c r="AX22" s="291"/>
      <c r="AY22" s="290"/>
    </row>
    <row r="23" spans="2:51" ht="15" customHeight="1" thickBot="1">
      <c r="B23" s="126"/>
      <c r="C23" s="439"/>
      <c r="D23" s="441" t="str">
        <f>IF(OR(D7="",D8=""),"",D8)</f>
        <v>A2</v>
      </c>
      <c r="E23" s="441"/>
      <c r="F23" s="28" t="str">
        <f>IF(COUNT(G23:I23)&lt;1,"",IF(SUM(IF(G23&gt;G22,1,0),IF(H23&gt;H22,1,0),IF(I23&gt;I22,1,0))&gt;2,"??",SUM(IF(G23&gt;G22,1,0),IF(H23&gt;H22,1,0),IF(I23&gt;I22,1,0))))</f>
        <v/>
      </c>
      <c r="G23" s="153"/>
      <c r="H23" s="154"/>
      <c r="I23" s="155"/>
      <c r="J23" s="439"/>
      <c r="K23" s="441" t="str">
        <f>IF(OR(K7="",K8=""),"",K8)</f>
        <v>B2</v>
      </c>
      <c r="L23" s="441"/>
      <c r="M23" s="28" t="str">
        <f>IF(COUNT(N23:P23)&lt;1,"",IF(SUM(IF(N23&gt;N22,1,0),IF(O23&gt;O22,1,0),IF(P23&gt;P22,1,0))&gt;2,"??",SUM(IF(N23&gt;N22,1,0),IF(O23&gt;O22,1,0),IF(P23&gt;P22,1,0))))</f>
        <v/>
      </c>
      <c r="N23" s="153"/>
      <c r="O23" s="154"/>
      <c r="P23" s="155"/>
      <c r="Q23" s="439"/>
      <c r="R23" s="441" t="str">
        <f>IF(OR(R7="",R8=""),"",R8)</f>
        <v>C2</v>
      </c>
      <c r="S23" s="441"/>
      <c r="T23" s="28" t="str">
        <f>IF(COUNT(U23:W23)&lt;1,"",IF(SUM(IF(U23&gt;U22,1,0),IF(V23&gt;V22,1,0),IF(W23&gt;W22,1,0))&gt;2,"??",SUM(IF(U23&gt;U22,1,0),IF(V23&gt;V22,1,0),IF(W23&gt;W22,1,0))))</f>
        <v/>
      </c>
      <c r="U23" s="153"/>
      <c r="V23" s="154"/>
      <c r="W23" s="155"/>
      <c r="X23" s="439"/>
      <c r="Y23" s="441" t="str">
        <f>IF(OR(Y7="",Y8=""),"",Y8)</f>
        <v>D2</v>
      </c>
      <c r="Z23" s="441"/>
      <c r="AA23" s="28" t="str">
        <f>IF(COUNT(AB23:AD23)&lt;1,"",IF(SUM(IF(AB23&gt;AB22,1,0),IF(AC23&gt;AC22,1,0),IF(AD23&gt;AD22,1,0))&gt;2,"??",SUM(IF(AB23&gt;AB22,1,0),IF(AC23&gt;AC22,1,0),IF(AD23&gt;AD22,1,0))))</f>
        <v/>
      </c>
      <c r="AB23" s="153"/>
      <c r="AC23" s="154"/>
      <c r="AD23" s="155"/>
      <c r="AE23" s="444"/>
      <c r="AG23" s="109">
        <f>$Q$22</f>
        <v>14</v>
      </c>
      <c r="AH23" s="161"/>
      <c r="AI23" s="109">
        <f>$O$41</f>
        <v>30</v>
      </c>
      <c r="AJ23" s="161"/>
      <c r="AK23" s="109">
        <f>$V$92</f>
        <v>43</v>
      </c>
      <c r="AL23" s="161"/>
      <c r="AN23" s="339" t="s">
        <v>236</v>
      </c>
      <c r="AO23" s="328" t="str">
        <f>IF(Y7="","",Y7)</f>
        <v>D1</v>
      </c>
      <c r="AP23" s="329" t="str">
        <f>AC7</f>
        <v/>
      </c>
      <c r="AQ23" s="329" t="str">
        <f>IF(AP23="","",(IF(AA16="",0,AA16)+IF(AA22="",0,AA22)+IF(AA27="",0,AA27))-(IF(AA17="",0,AA17)+IF(AA23="",0,AA23)+IF(AA26="",0,AA26)))</f>
        <v/>
      </c>
      <c r="AR23" s="329" t="str">
        <f>IF(AP23="","",(IF(AA16="",0,SUM(AB16:AD16))+IF(AA22="",0,SUM(AB22:AD22))+IF(AA27="",0,SUM(AB27:AD27)))-(IF(AA17="",0,SUM(AB17:AD17))+IF(AA23="",0,SUM(AB23:AD23))+IF(AA26="",0,SUM(AB26:AD26))))</f>
        <v/>
      </c>
      <c r="AS23" s="290"/>
      <c r="AT23" s="291"/>
      <c r="AU23" s="291"/>
      <c r="AV23" s="290"/>
      <c r="AW23" s="291"/>
      <c r="AX23" s="291"/>
      <c r="AY23" s="290"/>
    </row>
    <row r="24" spans="2:51" ht="15" customHeight="1" thickTop="1" thickBot="1">
      <c r="B24" s="126"/>
      <c r="C24" s="431">
        <v>17</v>
      </c>
      <c r="D24" s="433" t="str">
        <f>IF(OR(D8="",D10=""),"",D8)</f>
        <v>A2</v>
      </c>
      <c r="E24" s="433"/>
      <c r="F24" s="22" t="str">
        <f>IF(COUNT(G24:I24)&lt;1,"",IF(SUM(IF(G24&gt;G25,1,0),IF(H24&gt;H25,1,0),IF(I24&gt;I25,1,0))&gt;2,"??",SUM(IF(G24&gt;G25,1,0),IF(H24&gt;H25,1,0),IF(I24&gt;I25,1,0))))</f>
        <v/>
      </c>
      <c r="G24" s="141"/>
      <c r="H24" s="142"/>
      <c r="I24" s="143"/>
      <c r="J24" s="431">
        <v>19</v>
      </c>
      <c r="K24" s="433" t="str">
        <f>IF(OR(K8="",K10=""),"",K8)</f>
        <v>B2</v>
      </c>
      <c r="L24" s="433"/>
      <c r="M24" s="22" t="str">
        <f>IF(COUNT(N24:P24)&lt;1,"",IF(SUM(IF(N24&gt;N25,1,0),IF(O24&gt;O25,1,0),IF(P24&gt;P25,1,0))&gt;2,"??",SUM(IF(N24&gt;N25,1,0),IF(O24&gt;O25,1,0),IF(P24&gt;P25,1,0))))</f>
        <v/>
      </c>
      <c r="N24" s="141"/>
      <c r="O24" s="142"/>
      <c r="P24" s="143"/>
      <c r="Q24" s="431">
        <v>21</v>
      </c>
      <c r="R24" s="433" t="str">
        <f>IF(OR(R8="",R10=""),"",R8)</f>
        <v>C2</v>
      </c>
      <c r="S24" s="433"/>
      <c r="T24" s="22" t="str">
        <f>IF(COUNT(U24:W24)&lt;1,"",IF(SUM(IF(U24&gt;U25,1,0),IF(V24&gt;V25,1,0),IF(W24&gt;W25,1,0))&gt;2,"??",SUM(IF(U24&gt;U25,1,0),IF(V24&gt;V25,1,0),IF(W24&gt;W25,1,0))))</f>
        <v/>
      </c>
      <c r="U24" s="141"/>
      <c r="V24" s="142"/>
      <c r="W24" s="143"/>
      <c r="X24" s="431">
        <v>23</v>
      </c>
      <c r="Y24" s="433" t="str">
        <f>IF(OR(Y8="",Y10=""),"",Y8)</f>
        <v>D2</v>
      </c>
      <c r="Z24" s="433"/>
      <c r="AA24" s="22" t="str">
        <f>IF(COUNT(AB24:AD24)&lt;1,"",IF(SUM(IF(AB24&gt;AB25,1,0),IF(AC24&gt;AC25,1,0),IF(AD24&gt;AD25,1,0))&gt;2,"??",SUM(IF(AB24&gt;AB25,1,0),IF(AC24&gt;AC25,1,0),IF(AD24&gt;AD25,1,0))))</f>
        <v/>
      </c>
      <c r="AB24" s="141"/>
      <c r="AC24" s="142"/>
      <c r="AD24" s="143"/>
      <c r="AE24" s="434" t="s">
        <v>45</v>
      </c>
      <c r="AG24" s="109">
        <f>$X$20</f>
        <v>15</v>
      </c>
      <c r="AH24" s="161"/>
      <c r="AI24" s="109">
        <f>$V$37</f>
        <v>31</v>
      </c>
      <c r="AJ24" s="161"/>
      <c r="AK24" s="130">
        <f>$W$92</f>
        <v>44</v>
      </c>
      <c r="AL24" s="163"/>
      <c r="AN24" s="330" t="s">
        <v>237</v>
      </c>
      <c r="AO24" s="328" t="str">
        <f>IF(Y8="","",Y8)</f>
        <v>D2</v>
      </c>
      <c r="AP24" s="331" t="str">
        <f>AC8</f>
        <v/>
      </c>
      <c r="AQ24" s="331" t="str">
        <f>IF(AP24="","",(IF(AA18="",0,AA18)+IF(AA23="",0,AA23)+IF(AA24="",0,AA24))-(IF(AA19="",0,AA19)+IF(AA22="",0,AA22)+IF(AA25="",0,AA25)))</f>
        <v/>
      </c>
      <c r="AR24" s="331" t="str">
        <f>IF(AP24="","",(IF(AA18="",0,SUM(AB18:AD18))+IF(AA23="",0,SUM(AB23:AD23))+IF(AA24="",0,SUM(AB24:AD24)))-(IF(AA19="",0,SUM(AB19:AD19))+IF(AA22="",0,SUM(AB22:AD22))+IF(AA25="",0,SUM(AB25:AD25))))</f>
        <v/>
      </c>
      <c r="AS24" s="290"/>
      <c r="AT24" s="291"/>
      <c r="AU24" s="291"/>
      <c r="AV24" s="290"/>
      <c r="AW24" s="291"/>
      <c r="AX24" s="291"/>
      <c r="AY24" s="290"/>
    </row>
    <row r="25" spans="2:51" ht="15" customHeight="1" thickBot="1">
      <c r="B25" s="126"/>
      <c r="C25" s="432"/>
      <c r="D25" s="437" t="str">
        <f>IF(OR(D8="",D10=""),"",D10)</f>
        <v>A4</v>
      </c>
      <c r="E25" s="437"/>
      <c r="F25" s="22" t="str">
        <f>IF(COUNT(G25:I25)&lt;1,"",IF(SUM(IF(G25&gt;G24,1,0),IF(H25&gt;H24,1,0),IF(I25&gt;I24,1,0))&gt;2,"??",SUM(IF(G25&gt;G24,1,0),IF(H25&gt;H24,1,0),IF(I25&gt;I24,1,0))))</f>
        <v/>
      </c>
      <c r="G25" s="141"/>
      <c r="H25" s="142"/>
      <c r="I25" s="143"/>
      <c r="J25" s="432"/>
      <c r="K25" s="437" t="str">
        <f>IF(OR(K8="",K10=""),"",K10)</f>
        <v>B4</v>
      </c>
      <c r="L25" s="437"/>
      <c r="M25" s="22" t="str">
        <f>IF(COUNT(N25:P25)&lt;1,"",IF(SUM(IF(N25&gt;N24,1,0),IF(O25&gt;O24,1,0),IF(P25&gt;P24,1,0))&gt;2,"??",SUM(IF(N25&gt;N24,1,0),IF(O25&gt;O24,1,0),IF(P25&gt;P24,1,0))))</f>
        <v/>
      </c>
      <c r="N25" s="141"/>
      <c r="O25" s="142"/>
      <c r="P25" s="143"/>
      <c r="Q25" s="432"/>
      <c r="R25" s="437" t="str">
        <f>IF(OR(R8="",R10=""),"",R10)</f>
        <v>C4</v>
      </c>
      <c r="S25" s="437"/>
      <c r="T25" s="22" t="str">
        <f>IF(COUNT(U25:W25)&lt;1,"",IF(SUM(IF(U25&gt;U24,1,0),IF(V25&gt;V24,1,0),IF(W25&gt;W24,1,0))&gt;2,"??",SUM(IF(U25&gt;U24,1,0),IF(V25&gt;V24,1,0),IF(W25&gt;W24,1,0))))</f>
        <v/>
      </c>
      <c r="U25" s="141"/>
      <c r="V25" s="142"/>
      <c r="W25" s="143"/>
      <c r="X25" s="432"/>
      <c r="Y25" s="437" t="str">
        <f>IF(OR(Y8="",Y10=""),"",Y10)</f>
        <v>D4</v>
      </c>
      <c r="Z25" s="437"/>
      <c r="AA25" s="22" t="str">
        <f>IF(COUNT(AB25:AD25)&lt;1,"",IF(SUM(IF(AB25&gt;AB24,1,0),IF(AC25&gt;AC24,1,0),IF(AD25&gt;AD24,1,0))&gt;2,"??",SUM(IF(AB25&gt;AB24,1,0),IF(AC25&gt;AC24,1,0),IF(AD25&gt;AD24,1,0))))</f>
        <v/>
      </c>
      <c r="AB25" s="141"/>
      <c r="AC25" s="142"/>
      <c r="AD25" s="143"/>
      <c r="AE25" s="435"/>
      <c r="AG25" s="130">
        <f>$X$22</f>
        <v>16</v>
      </c>
      <c r="AH25" s="163"/>
      <c r="AI25" s="130">
        <f>$W$37</f>
        <v>32</v>
      </c>
      <c r="AJ25" s="163"/>
      <c r="AK25" s="159"/>
      <c r="AL25" s="240"/>
      <c r="AN25" s="330" t="s">
        <v>239</v>
      </c>
      <c r="AO25" s="328" t="str">
        <f>IF(Y9="","",Y9)</f>
        <v>D3</v>
      </c>
      <c r="AP25" s="331" t="str">
        <f>AC9</f>
        <v/>
      </c>
      <c r="AQ25" s="331" t="str">
        <f>IF(AP25="","",(IF(AA19="",0,AA19)+IF(AA21="",0,AA21)+IF(AA26="",0,AA26))-(IF(AA18="",0,AA18)+IF(AA20="",0,AA20)+IF(AA27="",0,AA27)))</f>
        <v/>
      </c>
      <c r="AR25" s="331" t="str">
        <f>IF(AP25="","",(IF(AA19="",0,SUM(AB19:AD19))+IF(AA21="",0,SUM(AB21:AD21))+IF(AA26="",0,SUM(AB26:AD26)))-(IF(AA18="",0,SUM(AB18:AD18))+IF(AA20="",0,SUM(AB20:AD20))+IF(AA27="",0,SUM(AB27:AD27))))</f>
        <v/>
      </c>
      <c r="AS25" s="290"/>
      <c r="AT25" s="291"/>
      <c r="AU25" s="291"/>
      <c r="AV25" s="290"/>
      <c r="AW25" s="291"/>
      <c r="AX25" s="291"/>
      <c r="AY25" s="290"/>
    </row>
    <row r="26" spans="2:51" ht="15" customHeight="1" thickBot="1">
      <c r="B26" s="126"/>
      <c r="C26" s="428">
        <v>18</v>
      </c>
      <c r="D26" s="430" t="str">
        <f>IF(OR(D7="",D9=""),"",D9)</f>
        <v>A3</v>
      </c>
      <c r="E26" s="430"/>
      <c r="F26" s="23" t="str">
        <f>IF(COUNT(G26:I26)&lt;1,"",IF(SUM(IF(G26&gt;G27,1,0),IF(H26&gt;H27,1,0),IF(I26&gt;I27,1,0))&gt;2,"??",SUM(IF(G26&gt;G27,1,0),IF(H26&gt;H27,1,0),IF(I26&gt;I27,1,0))))</f>
        <v/>
      </c>
      <c r="G26" s="144"/>
      <c r="H26" s="145"/>
      <c r="I26" s="146"/>
      <c r="J26" s="428">
        <v>20</v>
      </c>
      <c r="K26" s="430" t="str">
        <f>IF(OR(K7="",K9=""),"",K9)</f>
        <v>B3</v>
      </c>
      <c r="L26" s="430"/>
      <c r="M26" s="23" t="str">
        <f>IF(COUNT(N26:P26)&lt;1,"",IF(SUM(IF(N26&gt;N27,1,0),IF(O26&gt;O27,1,0),IF(P26&gt;P27,1,0))&gt;2,"??",SUM(IF(N26&gt;N27,1,0),IF(O26&gt;O27,1,0),IF(P26&gt;P27,1,0))))</f>
        <v/>
      </c>
      <c r="N26" s="144"/>
      <c r="O26" s="145"/>
      <c r="P26" s="146"/>
      <c r="Q26" s="428">
        <v>22</v>
      </c>
      <c r="R26" s="430" t="str">
        <f>IF(OR(R7="",R9=""),"",R9)</f>
        <v>C3</v>
      </c>
      <c r="S26" s="430"/>
      <c r="T26" s="23" t="str">
        <f>IF(COUNT(U26:W26)&lt;1,"",IF(SUM(IF(U26&gt;U27,1,0),IF(V26&gt;V27,1,0),IF(W26&gt;W27,1,0))&gt;2,"??",SUM(IF(U26&gt;U27,1,0),IF(V26&gt;V27,1,0),IF(W26&gt;W27,1,0))))</f>
        <v/>
      </c>
      <c r="U26" s="144"/>
      <c r="V26" s="145"/>
      <c r="W26" s="146"/>
      <c r="X26" s="428">
        <v>24</v>
      </c>
      <c r="Y26" s="430" t="str">
        <f>IF(OR(Y7="",Y9=""),"",Y9)</f>
        <v>D3</v>
      </c>
      <c r="Z26" s="430"/>
      <c r="AA26" s="23" t="str">
        <f>IF(COUNT(AB26:AD26)&lt;1,"",IF(SUM(IF(AB26&gt;AB27,1,0),IF(AC26&gt;AC27,1,0),IF(AD26&gt;AD27,1,0))&gt;2,"??",SUM(IF(AB26&gt;AB27,1,0),IF(AC26&gt;AC27,1,0),IF(AD26&gt;AD27,1,0))))</f>
        <v/>
      </c>
      <c r="AB26" s="144"/>
      <c r="AC26" s="145"/>
      <c r="AD26" s="146"/>
      <c r="AE26" s="435"/>
      <c r="AG26" s="417" t="s">
        <v>247</v>
      </c>
      <c r="AH26" s="417"/>
      <c r="AI26" s="417" t="s">
        <v>248</v>
      </c>
      <c r="AJ26" s="417"/>
      <c r="AN26" s="340" t="s">
        <v>238</v>
      </c>
      <c r="AO26" s="341" t="str">
        <f>IF(Y10="","",Y10)</f>
        <v>D4</v>
      </c>
      <c r="AP26" s="341" t="str">
        <f>AC10</f>
        <v/>
      </c>
      <c r="AQ26" s="341" t="str">
        <f>IF(AP26="","",(IF(AA17="",0,AA17)+IF(AA20="",0,AA20)+IF(AA25="",0,AA25))-(IF(AA16="",0,AA16)+IF(AA21="",0,AA21)+IF(AA24="",0,AA24)))</f>
        <v/>
      </c>
      <c r="AR26" s="341" t="str">
        <f>IF(AP26="","",(IF(AA17="",0,SUM(AB17:AD17))+IF(AA20="",0,SUM(AB20:AD20))+IF(AA25="",0,SUM(AB25:AD25)))-(IF(AA16="",0,SUM(AB16:AD16))+IF(AA21="",0,SUM(AB21:AD21))+IF(AA24="",0,SUM(AB24:AD24))))</f>
        <v/>
      </c>
      <c r="AS26" s="290"/>
      <c r="AT26" s="291"/>
      <c r="AU26" s="291"/>
      <c r="AV26" s="290"/>
      <c r="AW26" s="291"/>
      <c r="AX26" s="291"/>
      <c r="AY26" s="290"/>
    </row>
    <row r="27" spans="2:51" ht="15" customHeight="1" thickBot="1">
      <c r="B27" s="126"/>
      <c r="C27" s="429"/>
      <c r="D27" s="418" t="str">
        <f>IF(OR(D7="",D9=""),"",D7)</f>
        <v>Joana P/Carla S (AE Sertã)</v>
      </c>
      <c r="E27" s="418"/>
      <c r="F27" s="29" t="str">
        <f>IF(COUNT(G27:I27)&lt;1,"",IF(SUM(IF(G27&gt;G26,1,0),IF(H27&gt;H26,1,0),IF(I27&gt;I26,1,0))&gt;2,"??",SUM(IF(G27&gt;G26,1,0),IF(H27&gt;H26,1,0),IF(I27&gt;I26,1,0))))</f>
        <v/>
      </c>
      <c r="G27" s="156"/>
      <c r="H27" s="157"/>
      <c r="I27" s="158"/>
      <c r="J27" s="429"/>
      <c r="K27" s="418" t="str">
        <f>IF(OR(K7="",K9=""),"",K7)</f>
        <v>B1</v>
      </c>
      <c r="L27" s="418"/>
      <c r="M27" s="29" t="str">
        <f>IF(COUNT(N27:P27)&lt;1,"",IF(SUM(IF(N27&gt;N26,1,0),IF(O27&gt;O26,1,0),IF(P27&gt;P26,1,0))&gt;2,"??",SUM(IF(N27&gt;N26,1,0),IF(O27&gt;O26,1,0),IF(P27&gt;P26,1,0))))</f>
        <v/>
      </c>
      <c r="N27" s="156"/>
      <c r="O27" s="157"/>
      <c r="P27" s="158"/>
      <c r="Q27" s="429"/>
      <c r="R27" s="418" t="str">
        <f>IF(OR(R7="",R9=""),"",R7)</f>
        <v>C1</v>
      </c>
      <c r="S27" s="418"/>
      <c r="T27" s="29" t="str">
        <f>IF(COUNT(U27:W27)&lt;1,"",IF(SUM(IF(U27&gt;U26,1,0),IF(V27&gt;V26,1,0),IF(W27&gt;W26,1,0))&gt;2,"??",SUM(IF(U27&gt;U26,1,0),IF(V27&gt;V26,1,0),IF(W27&gt;W26,1,0))))</f>
        <v/>
      </c>
      <c r="U27" s="156"/>
      <c r="V27" s="157"/>
      <c r="W27" s="158"/>
      <c r="X27" s="429"/>
      <c r="Y27" s="418" t="str">
        <f>IF(OR(Y7="",Y9=""),"",Y7)</f>
        <v>D1</v>
      </c>
      <c r="Z27" s="418"/>
      <c r="AA27" s="29" t="str">
        <f>IF(COUNT(AB27:AD27)&lt;1,"",IF(SUM(IF(AB27&gt;AB26,1,0),IF(AC27&gt;AC26,1,0),IF(AD27&gt;AD26,1,0))&gt;2,"??",SUM(IF(AB27&gt;AB26,1,0),IF(AC27&gt;AC26,1,0),IF(AD27&gt;AD26,1,0))))</f>
        <v/>
      </c>
      <c r="AB27" s="156"/>
      <c r="AC27" s="157"/>
      <c r="AD27" s="158"/>
      <c r="AE27" s="436"/>
      <c r="AG27" s="419">
        <v>1</v>
      </c>
      <c r="AH27" s="420"/>
      <c r="AI27" s="423">
        <v>4</v>
      </c>
      <c r="AJ27" s="424"/>
      <c r="AN27" s="292"/>
      <c r="AO27" s="293"/>
      <c r="AP27" s="342"/>
      <c r="AQ27" s="342"/>
      <c r="AR27" s="342"/>
      <c r="AS27" s="290"/>
      <c r="AT27" s="291"/>
      <c r="AU27" s="291"/>
      <c r="AV27" s="290"/>
      <c r="AW27" s="291"/>
      <c r="AX27" s="291"/>
      <c r="AY27" s="290"/>
    </row>
    <row r="28" spans="2:51" ht="15.75" customHeight="1" thickBot="1">
      <c r="B28" s="126"/>
      <c r="C28" s="427"/>
      <c r="D28" s="427"/>
      <c r="E28" s="427"/>
      <c r="F28" s="427"/>
      <c r="G28" s="427"/>
      <c r="H28" s="427"/>
      <c r="I28" s="427"/>
      <c r="J28" s="427"/>
      <c r="K28" s="427"/>
      <c r="L28" s="427"/>
      <c r="M28" s="427"/>
      <c r="N28" s="427"/>
      <c r="O28" s="427"/>
      <c r="P28" s="427"/>
      <c r="Q28" s="30"/>
      <c r="R28" s="31"/>
      <c r="S28" s="32"/>
      <c r="T28" s="33"/>
      <c r="U28" s="32"/>
      <c r="V28" s="32"/>
      <c r="W28" s="32"/>
      <c r="X28" s="30"/>
      <c r="Y28" s="31"/>
      <c r="Z28" s="32"/>
      <c r="AA28" s="33"/>
      <c r="AB28" s="32"/>
      <c r="AC28" s="32"/>
      <c r="AD28" s="32"/>
      <c r="AE28" s="113"/>
      <c r="AG28" s="421"/>
      <c r="AH28" s="422"/>
      <c r="AI28" s="425"/>
      <c r="AJ28" s="426"/>
      <c r="AN28" s="292"/>
      <c r="AO28" s="343" t="s">
        <v>425</v>
      </c>
      <c r="AP28" s="344" t="str">
        <f>IF(COUNT(AP11:AP26)=0,"",IF(SUM(AP11:AP26)=SUM(H7:H10,O7:O10,V7:V10,AC7:AC10),"OK","??"))</f>
        <v>OK</v>
      </c>
      <c r="AQ28" s="344" t="str">
        <f>IF(COUNT(AQ11:AQ26)=0,"",IF(SUM(IF(AQ11="",0,AQ11),IF(AQ12="",0,AQ12),IF(AQ13="",0,AQ13),IF(AQ14="",0,AQ14),IF(AQ15="",0,AQ15),IF(AQ16="",0,AQ16),IF(AQ17="",0,AQ17),IF(AQ18="",0,AQ18),IF(AQ19="",0,AQ19),IF(AQ20="",0,AQ20),IF(AQ21="",0,AQ21),IF(AQ22="",0,AQ22),IF(AQ23="",0,AQ23),IF(AQ24="",0,AQ24),IF(AQ25="",0,AQ25),IF(AQ26="",0,AQ26))=0,"OK","??"))</f>
        <v>OK</v>
      </c>
      <c r="AR28" s="344" t="str">
        <f>IF(COUNT(AR11:AR26)=0,"",IF(SUM(IF(AR11="",0,AR11),IF(AR12="",0,AR12),IF(AR13="",0,AR13),IF(AR14="",0,AR14),IF(AR15="",0,AR15),IF(AR16="",0,AR16),IF(AR17="",0,AR17),IF(AR18="",0,AR18),IF(AR19="",0,AR19),IF(AR20="",0,AR20),IF(AR21="",0,AR21),IF(AR22="",0,AR22),IF(AR23="",0,AR23),IF(AR24="",0,AR24),IF(AR25="",0,AR25),IF(AR26="",0,AR26))=0,"OK","??"))</f>
        <v>OK</v>
      </c>
      <c r="AS28" s="290"/>
      <c r="AT28" s="291"/>
      <c r="AU28" s="291"/>
      <c r="AV28" s="290"/>
      <c r="AW28" s="291"/>
      <c r="AX28" s="291"/>
      <c r="AY28" s="290"/>
    </row>
    <row r="29" spans="2:51" ht="15" customHeight="1">
      <c r="B29" s="125"/>
      <c r="C29" s="167"/>
      <c r="D29" s="61"/>
      <c r="E29" s="61"/>
      <c r="F29" s="167"/>
      <c r="G29" s="167"/>
      <c r="H29" s="167"/>
      <c r="I29" s="61"/>
      <c r="J29" s="167"/>
      <c r="K29" s="183"/>
      <c r="L29" s="61"/>
      <c r="M29" s="61"/>
      <c r="N29" s="61"/>
      <c r="O29" s="61"/>
      <c r="P29" s="61"/>
      <c r="Q29" s="167"/>
      <c r="R29" s="61"/>
      <c r="S29" s="61"/>
      <c r="T29" s="61"/>
      <c r="U29" s="61"/>
      <c r="V29" s="61"/>
      <c r="W29" s="61"/>
      <c r="X29" s="167"/>
      <c r="Y29" s="389" t="s">
        <v>0</v>
      </c>
      <c r="Z29" s="390"/>
      <c r="AA29" s="390"/>
      <c r="AB29" s="390"/>
      <c r="AC29" s="390"/>
      <c r="AD29" s="391"/>
      <c r="AE29" s="3"/>
      <c r="AG29" s="409" t="s">
        <v>46</v>
      </c>
      <c r="AH29" s="409"/>
      <c r="AI29" s="409"/>
      <c r="AJ29" s="409"/>
      <c r="AN29" s="292"/>
      <c r="AO29" s="293"/>
      <c r="AP29" s="398"/>
      <c r="AQ29" s="398"/>
      <c r="AR29" s="398"/>
      <c r="AS29" s="290"/>
      <c r="AT29" s="291"/>
      <c r="AU29" s="291"/>
      <c r="AV29" s="290"/>
      <c r="AW29" s="291"/>
      <c r="AX29" s="291"/>
      <c r="AY29" s="290"/>
    </row>
    <row r="30" spans="2:51" ht="15.75" customHeight="1" thickBot="1">
      <c r="B30" s="126"/>
      <c r="C30" s="369" t="str">
        <f>IF(D12="","1º do grupo A",D12)</f>
        <v>Joana P/Carla S (AE Sertã)</v>
      </c>
      <c r="D30" s="370"/>
      <c r="E30" s="69"/>
      <c r="F30" s="69"/>
      <c r="G30" s="70"/>
      <c r="H30" s="35" t="str">
        <f>IF(COUNT(E30:G30)&lt;1,"",IF(SUM(IF(E30&gt;E32,1,0),IF(F30&gt;F32,1,0),IF(G30&gt;G32,1,0))&gt;2,"??",SUM(IF(E30&gt;E32,1,0),IF(F30&gt;F32,1,0),IF(G30&gt;G32,1,0))))</f>
        <v/>
      </c>
      <c r="I30" s="36"/>
      <c r="J30" s="40"/>
      <c r="K30" s="55"/>
      <c r="L30" s="55"/>
      <c r="M30" s="55"/>
      <c r="N30" s="55"/>
      <c r="O30" s="55"/>
      <c r="P30" s="55"/>
      <c r="Q30" s="40"/>
      <c r="R30" s="55"/>
      <c r="S30" s="55"/>
      <c r="T30" s="55"/>
      <c r="U30" s="55"/>
      <c r="V30" s="55"/>
      <c r="W30" s="54"/>
      <c r="X30" s="68"/>
      <c r="Y30" s="392"/>
      <c r="Z30" s="393"/>
      <c r="AA30" s="393"/>
      <c r="AB30" s="393"/>
      <c r="AC30" s="393"/>
      <c r="AD30" s="394"/>
      <c r="AE30" s="113"/>
      <c r="AG30" s="410"/>
      <c r="AH30" s="410"/>
      <c r="AI30" s="410"/>
      <c r="AJ30" s="410"/>
      <c r="AN30" s="292"/>
      <c r="AO30" s="293"/>
      <c r="AP30" s="398"/>
      <c r="AQ30" s="398"/>
      <c r="AR30" s="398"/>
      <c r="AS30" s="290"/>
      <c r="AT30" s="291"/>
      <c r="AU30" s="291"/>
      <c r="AV30" s="290"/>
      <c r="AW30" s="291"/>
      <c r="AX30" s="291"/>
      <c r="AY30" s="290"/>
    </row>
    <row r="31" spans="2:51" ht="15.75" customHeight="1">
      <c r="B31" s="126"/>
      <c r="C31" s="68"/>
      <c r="D31" s="37"/>
      <c r="E31" s="41"/>
      <c r="F31" s="41"/>
      <c r="G31" s="62"/>
      <c r="H31" s="64">
        <v>25</v>
      </c>
      <c r="I31" s="411" t="str">
        <f>IF(OR(H30="",H32="")=TRUE,"1ª Meia Final-Jogador1",IF(H30&gt;H32,C30,C32))</f>
        <v>1ª Meia Final-Jogador1</v>
      </c>
      <c r="J31" s="412"/>
      <c r="K31" s="413"/>
      <c r="L31" s="69"/>
      <c r="M31" s="69"/>
      <c r="N31" s="70"/>
      <c r="O31" s="38" t="str">
        <f>IF(COUNT(L31:N31)&lt;1,"",IF(SUM(IF(L31&gt;L35,1,0),IF(M31&gt;M35,1,0),IF(N31&gt;N35,1,0))&gt;2,"??",SUM(IF(L31&gt;L35,1,0),IF(M31&gt;M35,1,0),IF(N31&gt;N35,1,0))))</f>
        <v/>
      </c>
      <c r="P31" s="55"/>
      <c r="Q31" s="40"/>
      <c r="R31" s="55"/>
      <c r="S31" s="55"/>
      <c r="T31" s="55"/>
      <c r="U31" s="55"/>
      <c r="V31" s="55"/>
      <c r="W31" s="54"/>
      <c r="X31" s="68"/>
      <c r="Y31" s="414" t="str">
        <f>IF(X37="1º Classificado","",X37)</f>
        <v/>
      </c>
      <c r="Z31" s="415"/>
      <c r="AA31" s="415"/>
      <c r="AB31" s="415"/>
      <c r="AC31" s="415"/>
      <c r="AD31" s="39" t="s">
        <v>1</v>
      </c>
      <c r="AE31" s="113"/>
      <c r="AG31" s="410"/>
      <c r="AH31" s="410"/>
      <c r="AI31" s="410"/>
      <c r="AJ31" s="410"/>
      <c r="AN31" s="288"/>
      <c r="AO31" s="289"/>
      <c r="AP31" s="416"/>
      <c r="AQ31" s="416"/>
      <c r="AR31" s="416"/>
      <c r="AS31" s="290"/>
      <c r="AT31" s="291"/>
      <c r="AU31" s="291"/>
      <c r="AV31" s="290"/>
      <c r="AW31" s="291"/>
      <c r="AX31" s="291"/>
      <c r="AY31" s="290"/>
    </row>
    <row r="32" spans="2:51" ht="15.75" customHeight="1">
      <c r="B32" s="126"/>
      <c r="C32" s="369" t="str">
        <f>IF(K13="","2º do grupo B",K13)</f>
        <v>2º do grupo B</v>
      </c>
      <c r="D32" s="370"/>
      <c r="E32" s="69"/>
      <c r="F32" s="69"/>
      <c r="G32" s="70"/>
      <c r="H32" s="35" t="str">
        <f>IF(COUNT(E32:G32)&lt;1,"",IF(SUM(IF(E30&lt;E32,1,0),IF(F30&lt;F32,1,0),IF(G30&lt;G32,1,0))&gt;2,"??",SUM(IF(E30&lt;E32,1,0),IF(F30&lt;F32,1,0),IF(G30&lt;G32,1,0))))</f>
        <v/>
      </c>
      <c r="I32" s="36"/>
      <c r="J32" s="40"/>
      <c r="K32" s="59"/>
      <c r="L32" s="55"/>
      <c r="M32" s="41"/>
      <c r="N32" s="41"/>
      <c r="O32" s="42"/>
      <c r="P32" s="36"/>
      <c r="Q32" s="40"/>
      <c r="R32" s="55"/>
      <c r="S32" s="55"/>
      <c r="T32" s="55"/>
      <c r="U32" s="55"/>
      <c r="V32" s="60"/>
      <c r="W32" s="53"/>
      <c r="X32" s="48"/>
      <c r="Y32" s="405" t="str">
        <f>IF(Y31="","",IF(Y31=P33,P41,P33))</f>
        <v/>
      </c>
      <c r="Z32" s="406" t="e">
        <f>IF(#REF!="","",IF(#REF!=W32,"","(2º) "))</f>
        <v>#REF!</v>
      </c>
      <c r="AA32" s="406" t="e">
        <f>IF(#REF!="","",IF(#REF!=X32,"","(2º) "))</f>
        <v>#REF!</v>
      </c>
      <c r="AB32" s="406" t="e">
        <f>IF(#REF!="","",IF(#REF!=Y32,"","(2º) "))</f>
        <v>#REF!</v>
      </c>
      <c r="AC32" s="406" t="e">
        <f>IF(#REF!="","",IF(#REF!=Z32,"","(2º) "))</f>
        <v>#REF!</v>
      </c>
      <c r="AD32" s="43" t="s">
        <v>2</v>
      </c>
      <c r="AE32" s="113"/>
      <c r="AN32" s="292"/>
      <c r="AO32" s="293"/>
      <c r="AP32" s="398"/>
      <c r="AQ32" s="398"/>
      <c r="AR32" s="398"/>
      <c r="AS32" s="290"/>
      <c r="AT32" s="291"/>
      <c r="AU32" s="291"/>
      <c r="AV32" s="290"/>
      <c r="AW32" s="291"/>
      <c r="AX32" s="291"/>
      <c r="AY32" s="290"/>
    </row>
    <row r="33" spans="2:51" ht="15.75" customHeight="1">
      <c r="B33" s="126"/>
      <c r="C33" s="68"/>
      <c r="D33" s="37"/>
      <c r="E33" s="55"/>
      <c r="F33" s="42"/>
      <c r="G33" s="44"/>
      <c r="H33" s="44"/>
      <c r="I33" s="55"/>
      <c r="J33" s="40"/>
      <c r="K33" s="59"/>
      <c r="L33" s="55"/>
      <c r="M33" s="42"/>
      <c r="N33" s="42"/>
      <c r="O33" s="64">
        <v>29</v>
      </c>
      <c r="P33" s="374" t="str">
        <f>IF(OR(O31="",O35="")=TRUE,"Final-Jogador1",IF(O31&gt;O35,I31,I35))</f>
        <v>Final-Jogador1</v>
      </c>
      <c r="Q33" s="369"/>
      <c r="R33" s="369"/>
      <c r="S33" s="370"/>
      <c r="T33" s="69"/>
      <c r="U33" s="69"/>
      <c r="V33" s="69"/>
      <c r="W33" s="45" t="str">
        <f>IF(COUNT(T33:V33)&lt;1,"",IF(SUM(IF(T33&gt;T41,1,0),IF(U33&gt;U41,1,0),IF(V33&gt;V41,1,0))&gt;2,"??",SUM(IF(T33&gt;T41,1,0),IF(U33&gt;U41,1,0),IF(V33&gt;V41,1,0))))</f>
        <v/>
      </c>
      <c r="X33" s="48"/>
      <c r="Y33" s="407" t="str">
        <f>IF(P37="3º Classificado","",P37)</f>
        <v/>
      </c>
      <c r="Z33" s="408"/>
      <c r="AA33" s="408"/>
      <c r="AB33" s="408"/>
      <c r="AC33" s="408"/>
      <c r="AD33" s="166" t="s">
        <v>3</v>
      </c>
      <c r="AE33" s="113"/>
      <c r="AN33" s="292"/>
      <c r="AO33" s="293"/>
      <c r="AP33" s="398"/>
      <c r="AQ33" s="398"/>
      <c r="AR33" s="398"/>
      <c r="AS33" s="290"/>
      <c r="AT33" s="291"/>
      <c r="AU33" s="291"/>
      <c r="AV33" s="290"/>
      <c r="AW33" s="291"/>
      <c r="AX33" s="291"/>
      <c r="AY33" s="290"/>
    </row>
    <row r="34" spans="2:51" ht="15.75" customHeight="1" thickBot="1">
      <c r="B34" s="126"/>
      <c r="C34" s="369" t="str">
        <f>IF(Y13="","2º do grupo D",Y13)</f>
        <v>2º do grupo D</v>
      </c>
      <c r="D34" s="370"/>
      <c r="E34" s="69"/>
      <c r="F34" s="69"/>
      <c r="G34" s="70"/>
      <c r="H34" s="35" t="str">
        <f>IF(COUNT(E34:G34)&lt;1,"",IF(SUM(IF(E34&gt;E36,1,0),IF(F34&gt;F36,1,0),IF(G34&gt;G36,1,0))&gt;2,"??",SUM(IF(E34&gt;E36,1,0),IF(F34&gt;F36,1,0),IF(G34&gt;G36,1,0))))</f>
        <v/>
      </c>
      <c r="I34" s="36"/>
      <c r="J34" s="40"/>
      <c r="K34" s="59"/>
      <c r="L34" s="55"/>
      <c r="M34" s="42"/>
      <c r="N34" s="42"/>
      <c r="O34" s="42"/>
      <c r="P34" s="36"/>
      <c r="Q34" s="40"/>
      <c r="R34" s="55"/>
      <c r="S34" s="46"/>
      <c r="T34" s="42"/>
      <c r="U34" s="42"/>
      <c r="V34" s="67"/>
      <c r="W34" s="47"/>
      <c r="X34" s="48"/>
      <c r="Y34" s="403" t="str">
        <f>IF(Y33="","",IF(Y33=P35,P39,P35))</f>
        <v/>
      </c>
      <c r="Z34" s="404" t="e">
        <f>IF(#REF!="","",IF(#REF!=W34,"","(2º) "))</f>
        <v>#REF!</v>
      </c>
      <c r="AA34" s="404" t="e">
        <f>IF(#REF!="","",IF(#REF!=X34,"","(2º) "))</f>
        <v>#REF!</v>
      </c>
      <c r="AB34" s="404" t="e">
        <f>IF(#REF!="","",IF(#REF!=Y34,"","(2º) "))</f>
        <v>#REF!</v>
      </c>
      <c r="AC34" s="404" t="e">
        <f>IF(#REF!="","",IF(#REF!=Z34,"","(2º) "))</f>
        <v>#REF!</v>
      </c>
      <c r="AD34" s="165" t="s">
        <v>4</v>
      </c>
      <c r="AE34" s="113"/>
      <c r="AN34" s="292"/>
      <c r="AO34" s="293"/>
      <c r="AP34" s="398"/>
      <c r="AQ34" s="398"/>
      <c r="AR34" s="398"/>
      <c r="AS34" s="290"/>
      <c r="AT34" s="291"/>
      <c r="AU34" s="291"/>
      <c r="AV34" s="290"/>
      <c r="AW34" s="291"/>
      <c r="AX34" s="291"/>
      <c r="AY34" s="290"/>
    </row>
    <row r="35" spans="2:51" ht="15.75" customHeight="1">
      <c r="B35" s="126"/>
      <c r="C35" s="68"/>
      <c r="D35" s="37"/>
      <c r="E35" s="55"/>
      <c r="F35" s="42"/>
      <c r="G35" s="44"/>
      <c r="H35" s="63">
        <v>26</v>
      </c>
      <c r="I35" s="374" t="str">
        <f>IF(OR(H34="",H36="")=TRUE,"1ª Meia Final-Jogador2",IF(H34&gt;H36,C34,C36))</f>
        <v>1ª Meia Final-Jogador2</v>
      </c>
      <c r="J35" s="369"/>
      <c r="K35" s="370"/>
      <c r="L35" s="69"/>
      <c r="M35" s="69"/>
      <c r="N35" s="70"/>
      <c r="O35" s="38" t="str">
        <f>IF(COUNT(L35:N35)&lt;1,"",IF(SUM(IF(L31&lt;L35,1,0),IF(M31&lt;M35,1,0),IF(N31&lt;N35,1,0))&gt;2,"??",SUM(IF(L31&lt;L35,1,0),IF(M31&lt;M35,1,0),IF(N31&lt;N35,1,0))))</f>
        <v/>
      </c>
      <c r="P35" s="371" t="str">
        <f>IF(P33="Final-Jogador1","Disputa 3º/4º  Jogador1",IF(P33=I31,I35,I31))</f>
        <v>Disputa 3º/4º  Jogador1</v>
      </c>
      <c r="Q35" s="372"/>
      <c r="R35" s="373"/>
      <c r="S35" s="69"/>
      <c r="T35" s="69"/>
      <c r="U35" s="69"/>
      <c r="V35" s="49" t="str">
        <f>IF(COUNT(S35:U35)&lt;1,"",IF(SUM(IF(S35&gt;S39,1,0),IF(T35&gt;T39,1,0),IF(U35&gt;U39,1,0))&gt;2,"??",SUM(IF(S35&gt;S39,1,0),IF(T35&gt;T39,1,0),IF(U35&gt;U39,1,0))))</f>
        <v/>
      </c>
      <c r="W35" s="50"/>
      <c r="X35" s="48"/>
      <c r="Y35" s="53"/>
      <c r="Z35" s="53"/>
      <c r="AA35" s="53"/>
      <c r="AB35" s="53"/>
      <c r="AC35" s="53"/>
      <c r="AD35" s="54"/>
      <c r="AE35" s="113"/>
      <c r="AN35" s="292"/>
      <c r="AO35" s="293"/>
      <c r="AP35" s="398"/>
      <c r="AQ35" s="398"/>
      <c r="AR35" s="398"/>
      <c r="AS35" s="290"/>
      <c r="AT35" s="291"/>
      <c r="AU35" s="291"/>
      <c r="AV35" s="290"/>
      <c r="AW35" s="291"/>
      <c r="AX35" s="291"/>
      <c r="AY35" s="290"/>
    </row>
    <row r="36" spans="2:51" ht="15.75" customHeight="1">
      <c r="B36" s="126"/>
      <c r="C36" s="369" t="str">
        <f>IF(R12="","1º do grupo C",R12)</f>
        <v>1º do grupo C</v>
      </c>
      <c r="D36" s="370"/>
      <c r="E36" s="69"/>
      <c r="F36" s="69"/>
      <c r="G36" s="70"/>
      <c r="H36" s="35" t="str">
        <f>IF(COUNT(E36:G36)&lt;1,"",IF(SUM(IF(E34&lt;E36,1,0),IF(F34&lt;F36,1,0),IF(G34&lt;G36,1,0))&gt;2,"??",SUM(IF(E34&lt;E36,1,0),IF(F34&lt;F36,1,0),IF(G34&lt;G36,1,0))))</f>
        <v/>
      </c>
      <c r="I36" s="36"/>
      <c r="J36" s="40"/>
      <c r="K36" s="59"/>
      <c r="L36" s="46"/>
      <c r="M36" s="42"/>
      <c r="N36" s="42"/>
      <c r="O36" s="42"/>
      <c r="P36" s="55"/>
      <c r="Q36" s="51"/>
      <c r="R36" s="46"/>
      <c r="S36" s="46"/>
      <c r="T36" s="41"/>
      <c r="U36" s="41"/>
      <c r="V36" s="52"/>
      <c r="W36" s="50"/>
      <c r="X36" s="48"/>
      <c r="Y36" s="53"/>
      <c r="Z36" s="53"/>
      <c r="AA36" s="53"/>
      <c r="AB36" s="53"/>
      <c r="AC36" s="53"/>
      <c r="AD36" s="54"/>
      <c r="AE36" s="113"/>
      <c r="AN36" s="292"/>
      <c r="AO36" s="293"/>
      <c r="AP36" s="398"/>
      <c r="AQ36" s="398"/>
      <c r="AR36" s="398"/>
      <c r="AS36" s="290"/>
      <c r="AT36" s="291"/>
      <c r="AU36" s="291"/>
      <c r="AV36" s="290"/>
      <c r="AW36" s="291"/>
      <c r="AX36" s="291"/>
      <c r="AY36" s="290"/>
    </row>
    <row r="37" spans="2:51" ht="27" customHeight="1">
      <c r="B37" s="126"/>
      <c r="C37" s="127" t="s">
        <v>60</v>
      </c>
      <c r="D37" s="71"/>
      <c r="E37" s="118"/>
      <c r="F37" s="118"/>
      <c r="G37" s="119"/>
      <c r="H37" s="120"/>
      <c r="I37" s="55"/>
      <c r="J37" s="40"/>
      <c r="K37" s="59"/>
      <c r="L37" s="55"/>
      <c r="M37" s="42"/>
      <c r="N37" s="42"/>
      <c r="O37" s="42"/>
      <c r="P37" s="380" t="str">
        <f>IF(OR(V35="",V39="")=TRUE,"3º Classificado",IF(V35&gt;V39,P35,P39))</f>
        <v>3º Classificado</v>
      </c>
      <c r="Q37" s="380"/>
      <c r="R37" s="380"/>
      <c r="S37" s="380"/>
      <c r="T37" s="380"/>
      <c r="U37" s="380"/>
      <c r="V37" s="65">
        <v>31</v>
      </c>
      <c r="W37" s="66">
        <v>32</v>
      </c>
      <c r="X37" s="381" t="str">
        <f>IF(OR(W33="",W41="")=TRUE,"1º Classificado",IF(W33&gt;W41,P33,P41))</f>
        <v>1º Classificado</v>
      </c>
      <c r="Y37" s="382"/>
      <c r="Z37" s="382"/>
      <c r="AA37" s="382"/>
      <c r="AB37" s="382"/>
      <c r="AC37" s="382"/>
      <c r="AD37" s="54"/>
      <c r="AE37" s="113"/>
      <c r="AN37" s="292"/>
      <c r="AO37" s="293"/>
      <c r="AP37" s="398"/>
      <c r="AQ37" s="398"/>
      <c r="AR37" s="398"/>
      <c r="AS37" s="290"/>
      <c r="AT37" s="291"/>
      <c r="AU37" s="291"/>
      <c r="AV37" s="290"/>
      <c r="AW37" s="291"/>
      <c r="AX37" s="291"/>
      <c r="AY37" s="290"/>
    </row>
    <row r="38" spans="2:51" ht="15.75" customHeight="1">
      <c r="B38" s="126"/>
      <c r="C38" s="369" t="str">
        <f>IF(K12="","1º do grupo B",K12)</f>
        <v>1º do grupo B</v>
      </c>
      <c r="D38" s="370"/>
      <c r="E38" s="69"/>
      <c r="F38" s="69"/>
      <c r="G38" s="70"/>
      <c r="H38" s="35" t="str">
        <f>IF(COUNT(E38:G38)&lt;1,"",IF(SUM(IF(E38&gt;E40,1,0),IF(F38&gt;F40,1,0),IF(G38&gt;G40,1,0))&gt;2,"??",SUM(IF(E38&gt;E40,1,0),IF(F38&gt;F40,1,0),IF(G38&gt;G40,1,0))))</f>
        <v/>
      </c>
      <c r="I38" s="36"/>
      <c r="J38" s="40"/>
      <c r="K38" s="59"/>
      <c r="L38" s="55"/>
      <c r="M38" s="42"/>
      <c r="N38" s="42"/>
      <c r="O38" s="42"/>
      <c r="P38" s="55"/>
      <c r="Q38" s="40"/>
      <c r="R38" s="55"/>
      <c r="S38" s="55"/>
      <c r="T38" s="42"/>
      <c r="U38" s="42"/>
      <c r="V38" s="56"/>
      <c r="W38" s="50"/>
      <c r="X38" s="48"/>
      <c r="Y38" s="402" t="s">
        <v>5</v>
      </c>
      <c r="Z38" s="402"/>
      <c r="AA38" s="402"/>
      <c r="AB38" s="402"/>
      <c r="AC38" s="402"/>
      <c r="AD38" s="54"/>
      <c r="AE38" s="113"/>
      <c r="AN38" s="292"/>
      <c r="AO38" s="293"/>
      <c r="AP38" s="398"/>
      <c r="AQ38" s="398"/>
      <c r="AR38" s="398"/>
      <c r="AS38" s="290"/>
      <c r="AT38" s="291"/>
      <c r="AU38" s="291"/>
      <c r="AV38" s="290"/>
      <c r="AW38" s="291"/>
      <c r="AX38" s="291"/>
      <c r="AY38" s="290"/>
    </row>
    <row r="39" spans="2:51" ht="15.75" customHeight="1">
      <c r="B39" s="126"/>
      <c r="C39" s="68"/>
      <c r="D39" s="37"/>
      <c r="E39" s="55"/>
      <c r="F39" s="41"/>
      <c r="G39" s="44"/>
      <c r="H39" s="63">
        <v>27</v>
      </c>
      <c r="I39" s="374" t="str">
        <f>IF(OR(H38="",H40="")=TRUE,"2ª Meia Final-Jogador1",IF(H38&gt;H40,C38,C40))</f>
        <v>2ª Meia Final-Jogador1</v>
      </c>
      <c r="J39" s="369"/>
      <c r="K39" s="370"/>
      <c r="L39" s="69"/>
      <c r="M39" s="69"/>
      <c r="N39" s="70"/>
      <c r="O39" s="38" t="str">
        <f>IF(COUNT(L39:N39)&lt;1,"",IF(SUM(IF(L39&gt;L43,1,0),IF(M39&gt;M43,1,0),IF(N39&gt;N43,1,0))&gt;2,"??",SUM(IF(L39&gt;L43,1,0),IF(M39&gt;M43,1,0),IF(N39&gt;N43,1,0))))</f>
        <v/>
      </c>
      <c r="P39" s="371" t="str">
        <f>IF(P41="Final-Jogador2","Disputa 3º/4º  Jogador2",IF(P41=I39,I43,I39))</f>
        <v>Disputa 3º/4º  Jogador2</v>
      </c>
      <c r="Q39" s="372"/>
      <c r="R39" s="373"/>
      <c r="S39" s="69"/>
      <c r="T39" s="69"/>
      <c r="U39" s="69"/>
      <c r="V39" s="49" t="str">
        <f>IF(COUNT(S39:U39)&lt;1,"",IF(SUM(IF(S35&lt;S39,1,0),IF(T35&lt;T39,1,0),IF(U35&lt;U39,1,0))&gt;2,"??",SUM(IF(S35&lt;S39,1,0),IF(T35&lt;T39,1,0),IF(U35&lt;U39,1,0))))</f>
        <v/>
      </c>
      <c r="W39" s="50"/>
      <c r="X39" s="48"/>
      <c r="Y39" s="53"/>
      <c r="Z39" s="53"/>
      <c r="AA39" s="53"/>
      <c r="AB39" s="57"/>
      <c r="AC39" s="57"/>
      <c r="AD39" s="58"/>
      <c r="AE39" s="113"/>
      <c r="AN39" s="292"/>
      <c r="AO39" s="293"/>
      <c r="AP39" s="398"/>
      <c r="AQ39" s="398"/>
      <c r="AR39" s="398"/>
      <c r="AS39" s="290"/>
      <c r="AT39" s="291"/>
      <c r="AU39" s="291"/>
      <c r="AV39" s="290"/>
      <c r="AW39" s="291"/>
      <c r="AX39" s="291"/>
      <c r="AY39" s="290"/>
    </row>
    <row r="40" spans="2:51" ht="15.75" customHeight="1">
      <c r="B40" s="126"/>
      <c r="C40" s="369" t="str">
        <f>IF(D13="","2º do grupo A",D13)</f>
        <v>A4</v>
      </c>
      <c r="D40" s="370"/>
      <c r="E40" s="69"/>
      <c r="F40" s="69"/>
      <c r="G40" s="70"/>
      <c r="H40" s="35" t="str">
        <f>IF(COUNT(E40:G40)&lt;1,"",IF(SUM(IF(E38&lt;E40,1,0),IF(F38&lt;F40,1,0),IF(G38&lt;G40,1,0))&gt;2,"??",SUM(IF(E38&lt;E40,1,0),IF(F38&lt;F40,1,0),IF(G38&lt;G40,1,0))))</f>
        <v/>
      </c>
      <c r="I40" s="36"/>
      <c r="J40" s="40"/>
      <c r="K40" s="59"/>
      <c r="L40" s="55"/>
      <c r="M40" s="41"/>
      <c r="N40" s="41"/>
      <c r="O40" s="42"/>
      <c r="P40" s="36"/>
      <c r="Q40" s="51"/>
      <c r="R40" s="46"/>
      <c r="S40" s="55"/>
      <c r="T40" s="42"/>
      <c r="U40" s="42"/>
      <c r="V40" s="67"/>
      <c r="W40" s="50"/>
      <c r="X40" s="48"/>
      <c r="Y40" s="53"/>
      <c r="Z40" s="53"/>
      <c r="AA40" s="53"/>
      <c r="AB40" s="53"/>
      <c r="AC40" s="53"/>
      <c r="AD40" s="54"/>
      <c r="AE40" s="113"/>
      <c r="AN40" s="292"/>
      <c r="AO40" s="293"/>
      <c r="AP40" s="398"/>
      <c r="AQ40" s="398"/>
      <c r="AR40" s="398"/>
      <c r="AS40" s="290"/>
      <c r="AT40" s="291"/>
      <c r="AU40" s="291"/>
      <c r="AV40" s="290"/>
      <c r="AW40" s="291"/>
      <c r="AX40" s="291"/>
      <c r="AY40" s="290"/>
    </row>
    <row r="41" spans="2:51" ht="15.75" customHeight="1">
      <c r="B41" s="126"/>
      <c r="C41" s="68"/>
      <c r="D41" s="37"/>
      <c r="E41" s="55"/>
      <c r="F41" s="42"/>
      <c r="G41" s="44"/>
      <c r="H41" s="121"/>
      <c r="I41" s="55"/>
      <c r="J41" s="40"/>
      <c r="K41" s="59"/>
      <c r="L41" s="55"/>
      <c r="M41" s="42"/>
      <c r="N41" s="42"/>
      <c r="O41" s="64">
        <v>30</v>
      </c>
      <c r="P41" s="374" t="str">
        <f>IF(OR(O39="",O43="")=TRUE,"Final-Jogador2",IF(O39&gt;O43,I39,I43))</f>
        <v>Final-Jogador2</v>
      </c>
      <c r="Q41" s="369"/>
      <c r="R41" s="369"/>
      <c r="S41" s="370"/>
      <c r="T41" s="69"/>
      <c r="U41" s="69"/>
      <c r="V41" s="69"/>
      <c r="W41" s="45" t="str">
        <f>IF(COUNT(T41:V41)&lt;1,"",IF(SUM(IF(T33&lt;T41,1,0),IF(U33&lt;U41,1,0),IF(V33&lt;V41,1,0))&gt;2,"??",SUM(IF(T33&lt;T41,1,0),IF(U33&lt;U41,1,0),IF(V33&lt;V41,1,0))))</f>
        <v/>
      </c>
      <c r="X41" s="48"/>
      <c r="Y41" s="53"/>
      <c r="Z41" s="53"/>
      <c r="AA41" s="53"/>
      <c r="AB41" s="53"/>
      <c r="AC41" s="53"/>
      <c r="AD41" s="54"/>
      <c r="AE41" s="113"/>
      <c r="AN41" s="292"/>
      <c r="AO41" s="293"/>
      <c r="AP41" s="398"/>
      <c r="AQ41" s="398"/>
      <c r="AR41" s="398"/>
      <c r="AS41" s="290"/>
      <c r="AT41" s="291"/>
      <c r="AU41" s="291"/>
      <c r="AV41" s="290"/>
      <c r="AW41" s="291"/>
      <c r="AX41" s="291"/>
      <c r="AY41" s="290"/>
    </row>
    <row r="42" spans="2:51" ht="15.75" customHeight="1">
      <c r="B42" s="126"/>
      <c r="C42" s="369" t="str">
        <f>IF(R13="","2º do grupo C",R13)</f>
        <v>2º do grupo C</v>
      </c>
      <c r="D42" s="370"/>
      <c r="E42" s="69"/>
      <c r="F42" s="69"/>
      <c r="G42" s="70"/>
      <c r="H42" s="35" t="str">
        <f>IF(COUNT(E42:G42)&lt;1,"",IF(SUM(IF(E42&gt;E44,1,0),IF(F42&gt;F44,1,0),IF(G42&gt;G44,1,0))&gt;2,"??",SUM(IF(E42&gt;E44,1,0),IF(F42&gt;F44,1,0),IF(G42&gt;G44,1,0))))</f>
        <v/>
      </c>
      <c r="I42" s="36"/>
      <c r="J42" s="40"/>
      <c r="K42" s="59"/>
      <c r="L42" s="55"/>
      <c r="M42" s="42"/>
      <c r="N42" s="42"/>
      <c r="O42" s="42"/>
      <c r="P42" s="36"/>
      <c r="Q42" s="40"/>
      <c r="R42" s="55"/>
      <c r="S42" s="46"/>
      <c r="T42" s="55"/>
      <c r="U42" s="55"/>
      <c r="V42" s="60"/>
      <c r="W42" s="53"/>
      <c r="X42" s="48"/>
      <c r="Y42" s="53"/>
      <c r="Z42" s="53"/>
      <c r="AA42" s="53"/>
      <c r="AB42" s="53"/>
      <c r="AC42" s="53"/>
      <c r="AD42" s="54"/>
      <c r="AE42" s="113"/>
      <c r="AN42" s="292"/>
      <c r="AO42" s="293"/>
      <c r="AP42" s="398"/>
      <c r="AQ42" s="398"/>
      <c r="AR42" s="398"/>
      <c r="AS42" s="290"/>
      <c r="AT42" s="291"/>
      <c r="AU42" s="291"/>
      <c r="AV42" s="290"/>
      <c r="AW42" s="291"/>
      <c r="AX42" s="291"/>
      <c r="AY42" s="290"/>
    </row>
    <row r="43" spans="2:51" ht="15.75" customHeight="1">
      <c r="B43" s="126"/>
      <c r="C43" s="68"/>
      <c r="D43" s="37"/>
      <c r="E43" s="55"/>
      <c r="F43" s="42"/>
      <c r="G43" s="44"/>
      <c r="H43" s="63">
        <v>28</v>
      </c>
      <c r="I43" s="374" t="str">
        <f>IF(OR(H42="",H44="")=TRUE,"2ª Meia Final-Jogador2",IF(H42&gt;H44,C42,C44))</f>
        <v>2ª Meia Final-Jogador2</v>
      </c>
      <c r="J43" s="369"/>
      <c r="K43" s="370"/>
      <c r="L43" s="69"/>
      <c r="M43" s="69"/>
      <c r="N43" s="70"/>
      <c r="O43" s="35" t="str">
        <f>IF(COUNT(L43:N43)&lt;1,"",IF(SUM(IF(L39&lt;L43,1,0),IF(M39&lt;M43,1,0),IF(N39&lt;N43,1,0))&gt;2,"??",SUM(IF(L39&lt;L43,1,0),IF(M39&lt;M43,1,0),IF(N39&lt;N43,1,0))))</f>
        <v/>
      </c>
      <c r="P43" s="36"/>
      <c r="Q43" s="40"/>
      <c r="R43" s="55"/>
      <c r="S43" s="55"/>
      <c r="T43" s="55"/>
      <c r="U43" s="55"/>
      <c r="V43" s="55"/>
      <c r="W43" s="54"/>
      <c r="X43" s="68"/>
      <c r="Y43" s="54"/>
      <c r="Z43" s="54"/>
      <c r="AA43" s="54"/>
      <c r="AB43" s="54"/>
      <c r="AC43" s="54"/>
      <c r="AD43" s="54"/>
      <c r="AE43" s="113"/>
      <c r="AN43" s="292"/>
      <c r="AO43" s="293"/>
      <c r="AP43" s="398"/>
      <c r="AQ43" s="398"/>
      <c r="AR43" s="398"/>
      <c r="AS43" s="290"/>
      <c r="AT43" s="291"/>
      <c r="AU43" s="291"/>
      <c r="AV43" s="290"/>
      <c r="AW43" s="291"/>
      <c r="AX43" s="291"/>
      <c r="AY43" s="290"/>
    </row>
    <row r="44" spans="2:51" ht="15.75" customHeight="1">
      <c r="B44" s="126"/>
      <c r="C44" s="369" t="str">
        <f>IF(Y12="","1º do grupo D",Y12)</f>
        <v>1º do grupo D</v>
      </c>
      <c r="D44" s="370"/>
      <c r="E44" s="69"/>
      <c r="F44" s="69"/>
      <c r="G44" s="70"/>
      <c r="H44" s="35" t="str">
        <f>IF(COUNT(E44:G44)&lt;1,"",IF(SUM(IF(E42&lt;E44,1,0),IF(F42&lt;F44,1,0),IF(G42&lt;G44,1,0))&gt;2,"??",SUM(IF(E42&lt;E44,1,0),IF(F42&lt;F44,1,0),IF(G42&lt;G44,1,0))))</f>
        <v/>
      </c>
      <c r="I44" s="36"/>
      <c r="J44" s="40"/>
      <c r="K44" s="55"/>
      <c r="L44" s="46"/>
      <c r="M44" s="55"/>
      <c r="N44" s="55"/>
      <c r="O44" s="55"/>
      <c r="P44" s="55"/>
      <c r="Q44" s="40"/>
      <c r="R44" s="55"/>
      <c r="S44" s="55"/>
      <c r="T44" s="55"/>
      <c r="U44" s="55"/>
      <c r="V44" s="55"/>
      <c r="W44" s="54"/>
      <c r="X44" s="68"/>
      <c r="Y44" s="54"/>
      <c r="Z44" s="54"/>
      <c r="AA44" s="54"/>
      <c r="AB44" s="54"/>
      <c r="AC44" s="54"/>
      <c r="AD44" s="54"/>
      <c r="AE44" s="113"/>
      <c r="AN44" s="292"/>
      <c r="AO44" s="293"/>
      <c r="AP44" s="398"/>
      <c r="AQ44" s="398"/>
      <c r="AR44" s="398"/>
      <c r="AS44" s="290"/>
      <c r="AT44" s="291"/>
      <c r="AU44" s="291"/>
      <c r="AV44" s="290"/>
      <c r="AW44" s="291"/>
      <c r="AX44" s="291"/>
      <c r="AY44" s="290"/>
    </row>
    <row r="45" spans="2:51" ht="11.25" customHeight="1">
      <c r="B45" s="128"/>
      <c r="C45" s="123"/>
      <c r="D45" s="129"/>
      <c r="E45" s="122"/>
      <c r="F45" s="122"/>
      <c r="G45" s="122"/>
      <c r="H45" s="122"/>
      <c r="I45" s="122"/>
      <c r="J45" s="123"/>
      <c r="K45" s="122"/>
      <c r="L45" s="122"/>
      <c r="M45" s="122"/>
      <c r="N45" s="122"/>
      <c r="O45" s="122"/>
      <c r="P45" s="122"/>
      <c r="Q45" s="123"/>
      <c r="R45" s="122"/>
      <c r="S45" s="122"/>
      <c r="T45" s="122"/>
      <c r="U45" s="122"/>
      <c r="V45" s="122"/>
      <c r="W45" s="122"/>
      <c r="X45" s="123"/>
      <c r="Y45" s="122"/>
      <c r="Z45" s="122"/>
      <c r="AA45" s="122"/>
      <c r="AB45" s="122"/>
      <c r="AC45" s="122"/>
      <c r="AD45" s="122"/>
      <c r="AE45" s="124"/>
      <c r="AN45" s="292"/>
      <c r="AO45" s="293"/>
      <c r="AP45" s="398"/>
      <c r="AQ45" s="398"/>
      <c r="AR45" s="398"/>
      <c r="AS45" s="290"/>
      <c r="AT45" s="291"/>
      <c r="AU45" s="291"/>
      <c r="AV45" s="290"/>
      <c r="AW45" s="291"/>
      <c r="AX45" s="291"/>
      <c r="AY45" s="290"/>
    </row>
    <row r="46" spans="2:51" ht="4.5" customHeight="1">
      <c r="AN46" s="292"/>
      <c r="AO46" s="293"/>
      <c r="AP46" s="398"/>
      <c r="AQ46" s="398"/>
      <c r="AR46" s="398"/>
      <c r="AS46" s="290"/>
      <c r="AT46" s="291"/>
      <c r="AU46" s="291"/>
      <c r="AV46" s="290"/>
      <c r="AW46" s="291"/>
      <c r="AX46" s="291"/>
      <c r="AY46" s="290"/>
    </row>
    <row r="47" spans="2:51" ht="13.5" thickBot="1">
      <c r="D47" s="54"/>
      <c r="H47" s="125"/>
      <c r="I47" s="61"/>
      <c r="J47" s="167"/>
      <c r="K47" s="61"/>
      <c r="L47" s="61"/>
      <c r="M47" s="61"/>
      <c r="N47" s="61"/>
      <c r="O47" s="61"/>
      <c r="P47" s="61"/>
      <c r="Q47" s="167"/>
      <c r="R47" s="61"/>
      <c r="S47" s="61"/>
      <c r="T47" s="61"/>
      <c r="U47" s="61"/>
      <c r="V47" s="61"/>
      <c r="W47" s="61"/>
      <c r="X47" s="167"/>
      <c r="Y47" s="61"/>
      <c r="Z47" s="61"/>
      <c r="AA47" s="61"/>
      <c r="AB47" s="61"/>
      <c r="AC47" s="61"/>
      <c r="AD47" s="61"/>
      <c r="AE47" s="3"/>
      <c r="AN47" s="292"/>
      <c r="AO47" s="293"/>
      <c r="AP47" s="398"/>
      <c r="AQ47" s="398"/>
      <c r="AR47" s="398"/>
      <c r="AS47" s="290"/>
      <c r="AT47" s="291"/>
      <c r="AU47" s="291"/>
      <c r="AV47" s="290"/>
      <c r="AW47" s="291"/>
      <c r="AX47" s="291"/>
      <c r="AY47" s="290"/>
    </row>
    <row r="48" spans="2:51">
      <c r="D48" s="54"/>
      <c r="H48" s="126"/>
      <c r="I48" s="388" t="s">
        <v>48</v>
      </c>
      <c r="J48" s="388"/>
      <c r="K48" s="388"/>
      <c r="L48" s="388"/>
      <c r="M48" s="388"/>
      <c r="N48" s="388"/>
      <c r="O48" s="388"/>
      <c r="P48" s="388"/>
      <c r="Q48" s="388"/>
      <c r="R48" s="388"/>
      <c r="S48" s="388"/>
      <c r="T48" s="388"/>
      <c r="U48" s="388"/>
      <c r="V48" s="388"/>
      <c r="W48" s="388"/>
      <c r="X48" s="68"/>
      <c r="Y48" s="389" t="s">
        <v>0</v>
      </c>
      <c r="Z48" s="390"/>
      <c r="AA48" s="390"/>
      <c r="AB48" s="390"/>
      <c r="AC48" s="390"/>
      <c r="AD48" s="391"/>
      <c r="AE48" s="113"/>
      <c r="AN48" s="292"/>
      <c r="AO48" s="293"/>
      <c r="AP48" s="398"/>
      <c r="AQ48" s="398"/>
      <c r="AR48" s="398"/>
      <c r="AS48" s="290"/>
      <c r="AT48" s="291"/>
      <c r="AU48" s="291"/>
      <c r="AV48" s="290"/>
      <c r="AW48" s="291"/>
      <c r="AX48" s="291"/>
      <c r="AY48" s="290"/>
    </row>
    <row r="49" spans="2:53" ht="13.5" thickBot="1">
      <c r="B49" s="401"/>
      <c r="C49" s="401"/>
      <c r="D49" s="401"/>
      <c r="E49" s="182"/>
      <c r="H49" s="126"/>
      <c r="I49" s="388"/>
      <c r="J49" s="388"/>
      <c r="K49" s="388"/>
      <c r="L49" s="388"/>
      <c r="M49" s="388"/>
      <c r="N49" s="388"/>
      <c r="O49" s="388"/>
      <c r="P49" s="388"/>
      <c r="Q49" s="388"/>
      <c r="R49" s="388"/>
      <c r="S49" s="388"/>
      <c r="T49" s="388"/>
      <c r="U49" s="388"/>
      <c r="V49" s="388"/>
      <c r="W49" s="388"/>
      <c r="X49" s="68"/>
      <c r="Y49" s="392"/>
      <c r="Z49" s="393"/>
      <c r="AA49" s="393"/>
      <c r="AB49" s="393"/>
      <c r="AC49" s="393"/>
      <c r="AD49" s="394"/>
      <c r="AE49" s="113"/>
      <c r="AN49" s="292"/>
      <c r="AO49" s="293"/>
      <c r="AP49" s="398"/>
      <c r="AQ49" s="398"/>
      <c r="AR49" s="398"/>
      <c r="AS49" s="290"/>
      <c r="AT49" s="291"/>
      <c r="AU49" s="291"/>
      <c r="AV49" s="290"/>
      <c r="AW49" s="291"/>
      <c r="AX49" s="291"/>
      <c r="AY49" s="290"/>
    </row>
    <row r="50" spans="2:53" ht="15.75">
      <c r="H50" s="126"/>
      <c r="I50" s="369" t="str">
        <f>IF(I31="1ª Meia Final-Jogador1",CONCATENATE("Vencido do jogo ",H31),IF(I31=C30,C32,C30))</f>
        <v>Vencido do jogo 25</v>
      </c>
      <c r="J50" s="369"/>
      <c r="K50" s="370"/>
      <c r="L50" s="69"/>
      <c r="M50" s="69"/>
      <c r="N50" s="70"/>
      <c r="O50" s="38" t="str">
        <f>IF(COUNT(L50:N50)&lt;1,"",IF(SUM(IF(L50&gt;L54,1,0),IF(M50&gt;M54,1,0),IF(N50&gt;N54,1,0))&gt;2,"??",SUM(IF(L50&gt;L54,1,0),IF(M50&gt;M54,1,0),IF(N50&gt;N54,1,0))))</f>
        <v/>
      </c>
      <c r="P50" s="55"/>
      <c r="Q50" s="40"/>
      <c r="R50" s="55"/>
      <c r="S50" s="55"/>
      <c r="T50" s="55"/>
      <c r="U50" s="55"/>
      <c r="V50" s="55"/>
      <c r="W50" s="54"/>
      <c r="X50" s="68"/>
      <c r="Y50" s="395" t="str">
        <f>IF(X56="5º Classificado","",X56)</f>
        <v/>
      </c>
      <c r="Z50" s="396"/>
      <c r="AA50" s="396"/>
      <c r="AB50" s="396"/>
      <c r="AC50" s="396"/>
      <c r="AD50" s="39" t="s">
        <v>36</v>
      </c>
      <c r="AE50" s="113"/>
      <c r="AN50" s="292"/>
      <c r="AO50" s="293"/>
      <c r="AP50" s="398"/>
      <c r="AQ50" s="398"/>
      <c r="AR50" s="398"/>
      <c r="AS50" s="290"/>
      <c r="AT50" s="291"/>
      <c r="AU50" s="291"/>
      <c r="AV50" s="290"/>
      <c r="AW50" s="291"/>
      <c r="AX50" s="291"/>
      <c r="AY50" s="290"/>
    </row>
    <row r="51" spans="2:53" ht="15" customHeight="1">
      <c r="H51" s="126"/>
      <c r="I51" s="55"/>
      <c r="J51" s="40"/>
      <c r="K51" s="59"/>
      <c r="L51" s="55"/>
      <c r="M51" s="41"/>
      <c r="N51" s="41"/>
      <c r="O51" s="42"/>
      <c r="P51" s="36"/>
      <c r="Q51" s="40"/>
      <c r="R51" s="55"/>
      <c r="S51" s="55"/>
      <c r="T51" s="55"/>
      <c r="U51" s="55"/>
      <c r="V51" s="60"/>
      <c r="W51" s="53"/>
      <c r="X51" s="48"/>
      <c r="Y51" s="384" t="str">
        <f>IF(Y50="","",IF(Y50=P52,P60,P52))</f>
        <v/>
      </c>
      <c r="Z51" s="385" t="e">
        <f>IF(#REF!="","",IF(#REF!=W51,"","(2º) "))</f>
        <v>#REF!</v>
      </c>
      <c r="AA51" s="385" t="e">
        <f>IF(#REF!="","",IF(#REF!=X51,"","(2º) "))</f>
        <v>#REF!</v>
      </c>
      <c r="AB51" s="385" t="e">
        <f>IF(#REF!="","",IF(#REF!=Y51,"","(2º) "))</f>
        <v>#REF!</v>
      </c>
      <c r="AC51" s="385" t="e">
        <f>IF(#REF!="","",IF(#REF!=Z51,"","(2º) "))</f>
        <v>#REF!</v>
      </c>
      <c r="AD51" s="43" t="s">
        <v>37</v>
      </c>
      <c r="AE51" s="113"/>
      <c r="AN51" s="292"/>
      <c r="AO51" s="293"/>
      <c r="AP51" s="398"/>
      <c r="AQ51" s="398"/>
      <c r="AR51" s="398"/>
      <c r="AS51" s="290"/>
      <c r="AT51" s="291"/>
      <c r="AU51" s="291"/>
      <c r="AV51" s="290"/>
      <c r="AW51" s="291"/>
      <c r="AX51" s="291"/>
      <c r="AY51" s="290"/>
    </row>
    <row r="52" spans="2:53" ht="15" customHeight="1">
      <c r="H52" s="126"/>
      <c r="I52" s="55"/>
      <c r="J52" s="40"/>
      <c r="K52" s="59"/>
      <c r="L52" s="55"/>
      <c r="M52" s="42"/>
      <c r="N52" s="42"/>
      <c r="O52" s="64">
        <v>33</v>
      </c>
      <c r="P52" s="374" t="str">
        <f>IF(OR(O50="",O54="")=TRUE,"Disputa 5º/6º Jogador1",IF(O50&gt;O54,I50,I54))</f>
        <v>Disputa 5º/6º Jogador1</v>
      </c>
      <c r="Q52" s="369"/>
      <c r="R52" s="369"/>
      <c r="S52" s="370"/>
      <c r="T52" s="69"/>
      <c r="U52" s="69"/>
      <c r="V52" s="69"/>
      <c r="W52" s="45" t="str">
        <f>IF(COUNT(T52:V52)&lt;1,"",IF(SUM(IF(T52&gt;T60,1,0),IF(U52&gt;U60,1,0),IF(V52&gt;V60,1,0))&gt;2,"??",SUM(IF(T52&gt;T60,1,0),IF(U52&gt;U60,1,0),IF(V52&gt;V60,1,0))))</f>
        <v/>
      </c>
      <c r="X52" s="48"/>
      <c r="Y52" s="384" t="str">
        <f>IF(P56="7º Classificado","",P56)</f>
        <v/>
      </c>
      <c r="Z52" s="385"/>
      <c r="AA52" s="385"/>
      <c r="AB52" s="385"/>
      <c r="AC52" s="385"/>
      <c r="AD52" s="43" t="s">
        <v>38</v>
      </c>
      <c r="AE52" s="113"/>
      <c r="AN52" s="292"/>
      <c r="AO52" s="293"/>
      <c r="AP52" s="398"/>
      <c r="AQ52" s="398"/>
      <c r="AR52" s="398"/>
      <c r="AS52" s="290"/>
      <c r="AT52" s="291"/>
      <c r="AU52" s="291"/>
      <c r="AV52" s="290"/>
      <c r="AW52" s="291"/>
      <c r="AX52" s="291"/>
      <c r="AY52" s="290"/>
    </row>
    <row r="53" spans="2:53" ht="15.75" thickBot="1">
      <c r="H53" s="126"/>
      <c r="I53" s="55"/>
      <c r="J53" s="40"/>
      <c r="K53" s="59"/>
      <c r="L53" s="55"/>
      <c r="M53" s="42"/>
      <c r="N53" s="42"/>
      <c r="O53" s="42"/>
      <c r="P53" s="36"/>
      <c r="Q53" s="40"/>
      <c r="R53" s="55"/>
      <c r="S53" s="46"/>
      <c r="T53" s="42"/>
      <c r="U53" s="42"/>
      <c r="V53" s="67"/>
      <c r="W53" s="47"/>
      <c r="X53" s="48"/>
      <c r="Y53" s="386" t="str">
        <f>IF(Y52="","",IF(Y52=P54,P58,P54))</f>
        <v/>
      </c>
      <c r="Z53" s="387" t="e">
        <f>IF(#REF!="","",IF(#REF!=W53,"","(2º) "))</f>
        <v>#REF!</v>
      </c>
      <c r="AA53" s="387" t="e">
        <f>IF(#REF!="","",IF(#REF!=X53,"","(2º) "))</f>
        <v>#REF!</v>
      </c>
      <c r="AB53" s="387" t="e">
        <f>IF(#REF!="","",IF(#REF!=Y53,"","(2º) "))</f>
        <v>#REF!</v>
      </c>
      <c r="AC53" s="387" t="e">
        <f>IF(#REF!="","",IF(#REF!=Z53,"","(2º) "))</f>
        <v>#REF!</v>
      </c>
      <c r="AD53" s="164" t="s">
        <v>39</v>
      </c>
      <c r="AE53" s="113"/>
      <c r="AN53" s="292"/>
      <c r="AO53" s="293"/>
      <c r="AP53" s="398"/>
      <c r="AQ53" s="398"/>
      <c r="AR53" s="398"/>
      <c r="AS53" s="290"/>
      <c r="AT53" s="291"/>
      <c r="AU53" s="291"/>
      <c r="AV53" s="290"/>
      <c r="AW53" s="291"/>
      <c r="AX53" s="291"/>
      <c r="AY53" s="290"/>
    </row>
    <row r="54" spans="2:53" ht="15">
      <c r="H54" s="126"/>
      <c r="I54" s="369" t="str">
        <f>IF(I35="1ª Meia Final-Jogador2",CONCATENATE("Vencido do jogo ",H35),IF(I35=C34,C36,C34))</f>
        <v>Vencido do jogo 26</v>
      </c>
      <c r="J54" s="369"/>
      <c r="K54" s="370"/>
      <c r="L54" s="69"/>
      <c r="M54" s="69"/>
      <c r="N54" s="70"/>
      <c r="O54" s="38" t="str">
        <f>IF(COUNT(L54:N54)&lt;1,"",IF(SUM(IF(L50&lt;L54,1,0),IF(M50&lt;M54,1,0),IF(N50&lt;N54,1,0))&gt;2,"??",SUM(IF(L50&lt;L54,1,0),IF(M50&lt;M54,1,0),IF(N50&lt;N54,1,0))))</f>
        <v/>
      </c>
      <c r="P54" s="371" t="str">
        <f>IF(P52="Disputa 5º/6º Jogador1","Disputa 7º/8º  Jogador1",IF(P52=I50,I54,I50))</f>
        <v>Disputa 7º/8º  Jogador1</v>
      </c>
      <c r="Q54" s="399"/>
      <c r="R54" s="400"/>
      <c r="S54" s="69"/>
      <c r="T54" s="69"/>
      <c r="U54" s="69"/>
      <c r="V54" s="49" t="str">
        <f>IF(COUNT(S54:U54)&lt;1,"",IF(SUM(IF(S54&gt;S58,1,0),IF(T54&gt;T58,1,0),IF(U54&gt;U58,1,0))&gt;2,"??",SUM(IF(S54&gt;S58,1,0),IF(T54&gt;T58,1,0),IF(U54&gt;U58,1,0))))</f>
        <v/>
      </c>
      <c r="W54" s="50"/>
      <c r="X54" s="48"/>
      <c r="Y54" s="53"/>
      <c r="Z54" s="53"/>
      <c r="AA54" s="53"/>
      <c r="AB54" s="53"/>
      <c r="AC54" s="53"/>
      <c r="AD54" s="54"/>
      <c r="AE54" s="113"/>
      <c r="AN54" s="292"/>
      <c r="AO54" s="293"/>
      <c r="AP54" s="398"/>
      <c r="AQ54" s="398"/>
      <c r="AR54" s="398"/>
      <c r="AS54" s="290"/>
      <c r="AT54" s="291"/>
      <c r="AU54" s="291"/>
      <c r="AV54" s="290"/>
      <c r="AW54" s="291"/>
      <c r="AX54" s="291"/>
      <c r="AY54" s="290"/>
    </row>
    <row r="55" spans="2:53" ht="12.75" customHeight="1">
      <c r="H55" s="126"/>
      <c r="I55" s="55"/>
      <c r="J55" s="40"/>
      <c r="K55" s="59"/>
      <c r="L55" s="46"/>
      <c r="M55" s="42"/>
      <c r="N55" s="42"/>
      <c r="O55" s="42"/>
      <c r="P55" s="55"/>
      <c r="Q55" s="51"/>
      <c r="R55" s="46"/>
      <c r="S55" s="46"/>
      <c r="T55" s="41"/>
      <c r="U55" s="41"/>
      <c r="V55" s="52"/>
      <c r="W55" s="50"/>
      <c r="X55" s="48"/>
      <c r="Y55" s="53"/>
      <c r="Z55" s="53"/>
      <c r="AA55" s="53"/>
      <c r="AB55" s="53"/>
      <c r="AC55" s="53"/>
      <c r="AD55" s="54"/>
      <c r="AE55" s="113"/>
      <c r="AN55" s="176"/>
      <c r="AO55" s="285"/>
      <c r="AP55" s="285"/>
      <c r="AQ55" s="172"/>
      <c r="AR55" s="173"/>
      <c r="AS55" s="174"/>
      <c r="AT55" s="171"/>
      <c r="AU55" s="171"/>
      <c r="AV55" s="174"/>
      <c r="AW55" s="171"/>
      <c r="AX55" s="171"/>
      <c r="AY55" s="174"/>
      <c r="AZ55" s="108"/>
      <c r="BA55" s="108"/>
    </row>
    <row r="56" spans="2:53" ht="15.75">
      <c r="H56" s="126"/>
      <c r="I56" s="55"/>
      <c r="J56" s="40"/>
      <c r="K56" s="59"/>
      <c r="L56" s="55"/>
      <c r="M56" s="42"/>
      <c r="N56" s="42"/>
      <c r="O56" s="42"/>
      <c r="P56" s="397" t="str">
        <f>IF(OR(V54="",V58="")=TRUE,"7º Classificado",IF(V54&gt;V58,P54,P58))</f>
        <v>7º Classificado</v>
      </c>
      <c r="Q56" s="397"/>
      <c r="R56" s="397"/>
      <c r="S56" s="397"/>
      <c r="T56" s="397"/>
      <c r="U56" s="397"/>
      <c r="V56" s="65">
        <v>35</v>
      </c>
      <c r="W56" s="66">
        <v>36</v>
      </c>
      <c r="X56" s="381" t="str">
        <f>IF(OR(W52="",W60="")=TRUE,"5º Classificado",IF(W52&gt;W60,P52,P60))</f>
        <v>5º Classificado</v>
      </c>
      <c r="Y56" s="382"/>
      <c r="Z56" s="382"/>
      <c r="AA56" s="382"/>
      <c r="AB56" s="382"/>
      <c r="AC56" s="382"/>
      <c r="AD56" s="54"/>
      <c r="AE56" s="113"/>
      <c r="AN56" s="176"/>
      <c r="AO56" s="285"/>
      <c r="AP56" s="285"/>
      <c r="AQ56" s="172"/>
      <c r="AR56" s="173"/>
      <c r="AS56" s="174"/>
      <c r="AT56" s="171"/>
      <c r="AU56" s="171"/>
      <c r="AV56" s="174"/>
      <c r="AW56" s="171"/>
      <c r="AX56" s="171"/>
      <c r="AY56" s="174"/>
      <c r="AZ56" s="108"/>
      <c r="BA56" s="108"/>
    </row>
    <row r="57" spans="2:53" ht="15">
      <c r="H57" s="126"/>
      <c r="I57" s="55"/>
      <c r="J57" s="40"/>
      <c r="K57" s="59"/>
      <c r="L57" s="55"/>
      <c r="M57" s="42"/>
      <c r="N57" s="42"/>
      <c r="O57" s="42"/>
      <c r="P57" s="55"/>
      <c r="Q57" s="40"/>
      <c r="R57" s="55"/>
      <c r="S57" s="55"/>
      <c r="T57" s="42"/>
      <c r="U57" s="42"/>
      <c r="V57" s="56"/>
      <c r="W57" s="50"/>
      <c r="X57" s="48"/>
      <c r="Y57" s="383"/>
      <c r="Z57" s="383"/>
      <c r="AA57" s="383"/>
      <c r="AB57" s="383"/>
      <c r="AC57" s="383"/>
      <c r="AD57" s="54"/>
      <c r="AE57" s="113"/>
      <c r="AN57" s="176"/>
      <c r="AO57" s="285"/>
      <c r="AP57" s="285"/>
      <c r="AQ57" s="172"/>
      <c r="AR57" s="173"/>
      <c r="AS57" s="174"/>
      <c r="AT57" s="171"/>
      <c r="AU57" s="171"/>
      <c r="AV57" s="174"/>
      <c r="AW57" s="171"/>
      <c r="AX57" s="171"/>
      <c r="AY57" s="174"/>
      <c r="AZ57" s="108"/>
      <c r="BA57" s="108"/>
    </row>
    <row r="58" spans="2:53" ht="15">
      <c r="H58" s="126"/>
      <c r="I58" s="369" t="str">
        <f>IF(I39="2ª Meia Final-Jogador1",CONCATENATE("Vencido do jogo ",H39),IF(I39=C38,C40,C38))</f>
        <v>Vencido do jogo 27</v>
      </c>
      <c r="J58" s="369"/>
      <c r="K58" s="370"/>
      <c r="L58" s="69"/>
      <c r="M58" s="69"/>
      <c r="N58" s="70"/>
      <c r="O58" s="38" t="str">
        <f>IF(COUNT(L58:N58)&lt;1,"",IF(SUM(IF(L58&gt;L62,1,0),IF(M58&gt;M62,1,0),IF(N58&gt;N62,1,0))&gt;2,"??",SUM(IF(L58&gt;L62,1,0),IF(M58&gt;M62,1,0),IF(N58&gt;N62,1,0))))</f>
        <v/>
      </c>
      <c r="P58" s="371" t="str">
        <f>IF(P60="Disputa 5º/6º Jogador2","Disputa 7º/8º  Jogador2",IF(P60=I58,I62,I58))</f>
        <v>Disputa 7º/8º  Jogador2</v>
      </c>
      <c r="Q58" s="372"/>
      <c r="R58" s="373"/>
      <c r="S58" s="69"/>
      <c r="T58" s="69"/>
      <c r="U58" s="69"/>
      <c r="V58" s="49" t="str">
        <f>IF(COUNT(S58:U58)&lt;1,"",IF(SUM(IF(S54&lt;S58,1,0),IF(T54&lt;T58,1,0),IF(U54&lt;U58,1,0))&gt;2,"??",SUM(IF(S54&lt;S58,1,0),IF(T54&lt;T58,1,0),IF(U54&lt;U58,1,0))))</f>
        <v/>
      </c>
      <c r="W58" s="50"/>
      <c r="X58" s="48"/>
      <c r="Y58" s="53"/>
      <c r="Z58" s="53"/>
      <c r="AA58" s="53"/>
      <c r="AB58" s="57"/>
      <c r="AC58" s="57"/>
      <c r="AD58" s="58"/>
      <c r="AE58" s="113"/>
      <c r="AN58" s="176"/>
      <c r="AO58" s="285"/>
      <c r="AP58" s="285"/>
      <c r="AQ58" s="172"/>
      <c r="AR58" s="173"/>
      <c r="AS58" s="174"/>
      <c r="AT58" s="171"/>
      <c r="AU58" s="171"/>
      <c r="AV58" s="174"/>
      <c r="AW58" s="171"/>
      <c r="AX58" s="171"/>
      <c r="AY58" s="174"/>
      <c r="AZ58" s="108"/>
      <c r="BA58" s="108"/>
    </row>
    <row r="59" spans="2:53">
      <c r="H59" s="126"/>
      <c r="I59" s="55"/>
      <c r="J59" s="40"/>
      <c r="K59" s="59"/>
      <c r="L59" s="55"/>
      <c r="M59" s="41"/>
      <c r="N59" s="41"/>
      <c r="O59" s="42"/>
      <c r="P59" s="36"/>
      <c r="Q59" s="51"/>
      <c r="R59" s="46"/>
      <c r="S59" s="55"/>
      <c r="T59" s="42"/>
      <c r="U59" s="42"/>
      <c r="V59" s="67"/>
      <c r="W59" s="50"/>
      <c r="X59" s="48"/>
      <c r="Y59" s="53"/>
      <c r="Z59" s="53"/>
      <c r="AA59" s="53"/>
      <c r="AB59" s="53"/>
      <c r="AC59" s="53"/>
      <c r="AD59" s="54"/>
      <c r="AE59" s="113"/>
    </row>
    <row r="60" spans="2:53" ht="15">
      <c r="H60" s="126"/>
      <c r="I60" s="55"/>
      <c r="J60" s="40"/>
      <c r="K60" s="59"/>
      <c r="L60" s="55"/>
      <c r="M60" s="42"/>
      <c r="N60" s="42"/>
      <c r="O60" s="64">
        <v>34</v>
      </c>
      <c r="P60" s="374" t="str">
        <f>IF(OR(O58="",O62="")=TRUE,"Disputa 5º/6º Jogador2",IF(O58&gt;O62,I58,I62))</f>
        <v>Disputa 5º/6º Jogador2</v>
      </c>
      <c r="Q60" s="369"/>
      <c r="R60" s="369"/>
      <c r="S60" s="370"/>
      <c r="T60" s="69"/>
      <c r="U60" s="69"/>
      <c r="V60" s="69"/>
      <c r="W60" s="45" t="str">
        <f>IF(COUNT(T60:V60)&lt;1,"",IF(SUM(IF(T52&lt;T60,1,0),IF(U52&lt;U60,1,0),IF(V52&lt;V60,1,0))&gt;2,"??",SUM(IF(T52&lt;T60,1,0),IF(U52&lt;U60,1,0),IF(V52&lt;V60,1,0))))</f>
        <v/>
      </c>
      <c r="X60" s="48"/>
      <c r="Y60" s="53"/>
      <c r="Z60" s="53"/>
      <c r="AA60" s="53"/>
      <c r="AB60" s="53"/>
      <c r="AC60" s="53"/>
      <c r="AD60" s="54"/>
      <c r="AE60" s="113"/>
    </row>
    <row r="61" spans="2:53" ht="15" customHeight="1">
      <c r="H61" s="126"/>
      <c r="I61" s="55"/>
      <c r="J61" s="40"/>
      <c r="K61" s="59"/>
      <c r="L61" s="55"/>
      <c r="M61" s="42"/>
      <c r="N61" s="42"/>
      <c r="O61" s="42"/>
      <c r="P61" s="36"/>
      <c r="Q61" s="40"/>
      <c r="R61" s="55"/>
      <c r="S61" s="46"/>
      <c r="T61" s="55"/>
      <c r="U61" s="55"/>
      <c r="V61" s="60"/>
      <c r="W61" s="53"/>
      <c r="X61" s="48"/>
      <c r="Y61" s="53"/>
      <c r="Z61" s="53"/>
      <c r="AA61" s="53"/>
      <c r="AB61" s="53"/>
      <c r="AC61" s="53"/>
      <c r="AD61" s="54"/>
      <c r="AE61" s="113"/>
    </row>
    <row r="62" spans="2:53" ht="15">
      <c r="H62" s="126"/>
      <c r="I62" s="369" t="str">
        <f>IF(I43="2ª Meia Final-Jogador2",CONCATENATE("Vencido do jogo ",H43),IF(I43=C42,C44,C42))</f>
        <v>Vencido do jogo 28</v>
      </c>
      <c r="J62" s="369"/>
      <c r="K62" s="370"/>
      <c r="L62" s="69"/>
      <c r="M62" s="69"/>
      <c r="N62" s="70"/>
      <c r="O62" s="35" t="str">
        <f>IF(COUNT(L62:N62)&lt;1,"",IF(SUM(IF(L58&lt;L62,1,0),IF(M58&lt;M62,1,0),IF(N58&lt;N62,1,0))&gt;2,"??",SUM(IF(L58&lt;L62,1,0),IF(M58&lt;M62,1,0),IF(N58&lt;N62,1,0))))</f>
        <v/>
      </c>
      <c r="P62" s="36"/>
      <c r="Q62" s="40"/>
      <c r="R62" s="55"/>
      <c r="S62" s="55"/>
      <c r="T62" s="55"/>
      <c r="U62" s="55"/>
      <c r="V62" s="55"/>
      <c r="W62" s="54"/>
      <c r="X62" s="68"/>
      <c r="Y62" s="54"/>
      <c r="Z62" s="54"/>
      <c r="AA62" s="54"/>
      <c r="AB62" s="54"/>
      <c r="AC62" s="54"/>
      <c r="AD62" s="54"/>
      <c r="AE62" s="113"/>
    </row>
    <row r="63" spans="2:53">
      <c r="H63" s="128"/>
      <c r="I63" s="168"/>
      <c r="J63" s="169"/>
      <c r="K63" s="168"/>
      <c r="L63" s="170"/>
      <c r="M63" s="168"/>
      <c r="N63" s="168"/>
      <c r="O63" s="168"/>
      <c r="P63" s="168"/>
      <c r="Q63" s="169"/>
      <c r="R63" s="168"/>
      <c r="S63" s="168"/>
      <c r="T63" s="168"/>
      <c r="U63" s="168"/>
      <c r="V63" s="168"/>
      <c r="W63" s="122"/>
      <c r="X63" s="123"/>
      <c r="Y63" s="122"/>
      <c r="Z63" s="122"/>
      <c r="AA63" s="122"/>
      <c r="AB63" s="122"/>
      <c r="AC63" s="122"/>
      <c r="AD63" s="122"/>
      <c r="AE63" s="124"/>
    </row>
    <row r="64" spans="2:53" ht="6" customHeight="1">
      <c r="H64" s="54"/>
    </row>
    <row r="65" spans="4:53" ht="13.5" thickBot="1">
      <c r="D65" s="54"/>
      <c r="H65" s="125"/>
      <c r="I65" s="61"/>
      <c r="J65" s="167"/>
      <c r="K65" s="61"/>
      <c r="L65" s="61"/>
      <c r="M65" s="61"/>
      <c r="N65" s="61"/>
      <c r="O65" s="61"/>
      <c r="P65" s="61"/>
      <c r="Q65" s="167"/>
      <c r="R65" s="61"/>
      <c r="S65" s="61"/>
      <c r="T65" s="61"/>
      <c r="U65" s="61"/>
      <c r="V65" s="61"/>
      <c r="W65" s="61"/>
      <c r="X65" s="167"/>
      <c r="Y65" s="61"/>
      <c r="Z65" s="61"/>
      <c r="AA65" s="61"/>
      <c r="AB65" s="61"/>
      <c r="AC65" s="61"/>
      <c r="AD65" s="61"/>
      <c r="AE65" s="3"/>
      <c r="AN65" s="176"/>
      <c r="AO65" s="285"/>
      <c r="AP65" s="379"/>
      <c r="AQ65" s="379"/>
      <c r="AR65" s="379"/>
      <c r="AS65" s="174"/>
      <c r="AT65" s="171"/>
      <c r="AU65" s="171"/>
      <c r="AV65" s="174"/>
      <c r="AW65" s="171"/>
      <c r="AX65" s="171"/>
      <c r="AY65" s="174"/>
    </row>
    <row r="66" spans="4:53">
      <c r="D66" s="54"/>
      <c r="H66" s="126"/>
      <c r="I66" s="388" t="s">
        <v>55</v>
      </c>
      <c r="J66" s="388"/>
      <c r="K66" s="388"/>
      <c r="L66" s="388"/>
      <c r="M66" s="388"/>
      <c r="N66" s="388"/>
      <c r="O66" s="388"/>
      <c r="P66" s="388"/>
      <c r="Q66" s="388"/>
      <c r="R66" s="388"/>
      <c r="S66" s="388"/>
      <c r="T66" s="388"/>
      <c r="U66" s="388"/>
      <c r="V66" s="388"/>
      <c r="W66" s="388"/>
      <c r="X66" s="68"/>
      <c r="Y66" s="389" t="s">
        <v>0</v>
      </c>
      <c r="Z66" s="390"/>
      <c r="AA66" s="390"/>
      <c r="AB66" s="390"/>
      <c r="AC66" s="390"/>
      <c r="AD66" s="391"/>
      <c r="AE66" s="113"/>
      <c r="AN66" s="176"/>
      <c r="AO66" s="285"/>
      <c r="AP66" s="379"/>
      <c r="AQ66" s="379"/>
      <c r="AR66" s="379"/>
      <c r="AS66" s="174"/>
      <c r="AT66" s="171"/>
      <c r="AU66" s="171"/>
      <c r="AV66" s="174"/>
      <c r="AW66" s="171"/>
      <c r="AX66" s="171"/>
      <c r="AY66" s="174"/>
    </row>
    <row r="67" spans="4:53" ht="13.5" thickBot="1">
      <c r="D67" s="54"/>
      <c r="H67" s="126"/>
      <c r="I67" s="388"/>
      <c r="J67" s="388"/>
      <c r="K67" s="388"/>
      <c r="L67" s="388"/>
      <c r="M67" s="388"/>
      <c r="N67" s="388"/>
      <c r="O67" s="388"/>
      <c r="P67" s="388"/>
      <c r="Q67" s="388"/>
      <c r="R67" s="388"/>
      <c r="S67" s="388"/>
      <c r="T67" s="388"/>
      <c r="U67" s="388"/>
      <c r="V67" s="388"/>
      <c r="W67" s="388"/>
      <c r="X67" s="68"/>
      <c r="Y67" s="392"/>
      <c r="Z67" s="393"/>
      <c r="AA67" s="393"/>
      <c r="AB67" s="393"/>
      <c r="AC67" s="393"/>
      <c r="AD67" s="394"/>
      <c r="AE67" s="113"/>
      <c r="AN67" s="176"/>
      <c r="AO67" s="285"/>
      <c r="AP67" s="379"/>
      <c r="AQ67" s="379"/>
      <c r="AR67" s="379"/>
      <c r="AS67" s="174"/>
      <c r="AT67" s="171"/>
      <c r="AU67" s="171"/>
      <c r="AV67" s="174"/>
      <c r="AW67" s="171"/>
      <c r="AX67" s="171"/>
      <c r="AY67" s="174"/>
    </row>
    <row r="68" spans="4:53" ht="15.75">
      <c r="H68" s="126"/>
      <c r="I68" s="369" t="str">
        <f>IF(D14="","3º  do Grupo A",D14)</f>
        <v>3º  do Grupo A</v>
      </c>
      <c r="J68" s="369"/>
      <c r="K68" s="370"/>
      <c r="L68" s="69"/>
      <c r="M68" s="69"/>
      <c r="N68" s="70"/>
      <c r="O68" s="38" t="str">
        <f>IF(COUNT(L68:N68)&lt;1,"",IF(SUM(IF(L68&gt;L72,1,0),IF(M68&gt;M72,1,0),IF(N68&gt;N72,1,0))&gt;2,"??",SUM(IF(L68&gt;L72,1,0),IF(M68&gt;M72,1,0),IF(N68&gt;N72,1,0))))</f>
        <v/>
      </c>
      <c r="P68" s="55"/>
      <c r="Q68" s="40"/>
      <c r="R68" s="55"/>
      <c r="S68" s="55"/>
      <c r="T68" s="55"/>
      <c r="U68" s="55"/>
      <c r="V68" s="55"/>
      <c r="W68" s="54"/>
      <c r="X68" s="68"/>
      <c r="Y68" s="395" t="str">
        <f>IF(X74="9º Classificado","",X74)</f>
        <v/>
      </c>
      <c r="Z68" s="396"/>
      <c r="AA68" s="396"/>
      <c r="AB68" s="396"/>
      <c r="AC68" s="396"/>
      <c r="AD68" s="39" t="s">
        <v>56</v>
      </c>
      <c r="AE68" s="113"/>
      <c r="AN68" s="176"/>
      <c r="AO68" s="285"/>
      <c r="AP68" s="379"/>
      <c r="AQ68" s="379"/>
      <c r="AR68" s="379"/>
      <c r="AS68" s="174"/>
      <c r="AT68" s="171"/>
      <c r="AU68" s="171"/>
      <c r="AV68" s="174"/>
      <c r="AW68" s="171"/>
      <c r="AX68" s="171"/>
      <c r="AY68" s="174"/>
    </row>
    <row r="69" spans="4:53" ht="15" customHeight="1">
      <c r="H69" s="126"/>
      <c r="I69" s="55"/>
      <c r="J69" s="40"/>
      <c r="K69" s="59"/>
      <c r="L69" s="55"/>
      <c r="M69" s="41"/>
      <c r="N69" s="41"/>
      <c r="O69" s="42"/>
      <c r="P69" s="36"/>
      <c r="Q69" s="40"/>
      <c r="R69" s="55"/>
      <c r="S69" s="55"/>
      <c r="T69" s="55"/>
      <c r="U69" s="55"/>
      <c r="V69" s="60"/>
      <c r="W69" s="53"/>
      <c r="X69" s="48"/>
      <c r="Y69" s="384" t="str">
        <f>IF(Y68="","",IF(Y68=P70,P78,P70))</f>
        <v/>
      </c>
      <c r="Z69" s="385" t="e">
        <f>IF(#REF!="","",IF(#REF!=W69,"","(2º) "))</f>
        <v>#REF!</v>
      </c>
      <c r="AA69" s="385" t="e">
        <f>IF(#REF!="","",IF(#REF!=X69,"","(2º) "))</f>
        <v>#REF!</v>
      </c>
      <c r="AB69" s="385" t="e">
        <f>IF(#REF!="","",IF(#REF!=Y69,"","(2º) "))</f>
        <v>#REF!</v>
      </c>
      <c r="AC69" s="385" t="e">
        <f>IF(#REF!="","",IF(#REF!=Z69,"","(2º) "))</f>
        <v>#REF!</v>
      </c>
      <c r="AD69" s="43" t="s">
        <v>57</v>
      </c>
      <c r="AE69" s="113"/>
      <c r="AN69" s="176"/>
      <c r="AO69" s="285"/>
      <c r="AP69" s="379"/>
      <c r="AQ69" s="379"/>
      <c r="AR69" s="379"/>
      <c r="AS69" s="174"/>
      <c r="AT69" s="171"/>
      <c r="AU69" s="171"/>
      <c r="AV69" s="174"/>
      <c r="AW69" s="171"/>
      <c r="AX69" s="171"/>
      <c r="AY69" s="174"/>
    </row>
    <row r="70" spans="4:53" ht="15" customHeight="1">
      <c r="H70" s="126"/>
      <c r="I70" s="55"/>
      <c r="J70" s="40"/>
      <c r="K70" s="59"/>
      <c r="L70" s="55"/>
      <c r="M70" s="42"/>
      <c r="N70" s="42"/>
      <c r="O70" s="64">
        <v>37</v>
      </c>
      <c r="P70" s="374" t="str">
        <f>IF(OR(O68="",O72="")=TRUE,"Disputa 9º/10º Jogador1",IF(O68&gt;O72,I68,I72))</f>
        <v>Disputa 9º/10º Jogador1</v>
      </c>
      <c r="Q70" s="369"/>
      <c r="R70" s="369"/>
      <c r="S70" s="370"/>
      <c r="T70" s="69"/>
      <c r="U70" s="69"/>
      <c r="V70" s="69"/>
      <c r="W70" s="45" t="str">
        <f>IF(COUNT(T70:V70)&lt;1,"",IF(SUM(IF(T70&gt;T78,1,0),IF(U70&gt;U78,1,0),IF(V70&gt;V78,1,0))&gt;2,"??",SUM(IF(T70&gt;T78,1,0),IF(U70&gt;U78,1,0),IF(V70&gt;V78,1,0))))</f>
        <v/>
      </c>
      <c r="X70" s="48"/>
      <c r="Y70" s="384" t="str">
        <f>IF(P74="11º Classificado","",P74)</f>
        <v/>
      </c>
      <c r="Z70" s="385"/>
      <c r="AA70" s="385"/>
      <c r="AB70" s="385"/>
      <c r="AC70" s="385"/>
      <c r="AD70" s="43" t="s">
        <v>58</v>
      </c>
      <c r="AE70" s="113"/>
      <c r="AN70" s="176"/>
      <c r="AO70" s="285"/>
      <c r="AP70" s="379"/>
      <c r="AQ70" s="379"/>
      <c r="AR70" s="379"/>
      <c r="AS70" s="174"/>
      <c r="AT70" s="171"/>
      <c r="AU70" s="171"/>
      <c r="AV70" s="174"/>
      <c r="AW70" s="171"/>
      <c r="AX70" s="171"/>
      <c r="AY70" s="174"/>
    </row>
    <row r="71" spans="4:53" ht="15.75" thickBot="1">
      <c r="H71" s="126"/>
      <c r="I71" s="55"/>
      <c r="J71" s="40"/>
      <c r="K71" s="59"/>
      <c r="L71" s="55"/>
      <c r="M71" s="42"/>
      <c r="N71" s="42"/>
      <c r="O71" s="42"/>
      <c r="P71" s="36"/>
      <c r="Q71" s="40"/>
      <c r="R71" s="55"/>
      <c r="S71" s="46"/>
      <c r="T71" s="42"/>
      <c r="U71" s="42"/>
      <c r="V71" s="67"/>
      <c r="W71" s="47"/>
      <c r="X71" s="48"/>
      <c r="Y71" s="386" t="str">
        <f>IF(Y70="","",IF(Y70=P72,P76,P72))</f>
        <v/>
      </c>
      <c r="Z71" s="387"/>
      <c r="AA71" s="387"/>
      <c r="AB71" s="387"/>
      <c r="AC71" s="387"/>
      <c r="AD71" s="164" t="s">
        <v>59</v>
      </c>
      <c r="AE71" s="113"/>
      <c r="AN71" s="176"/>
      <c r="AO71" s="285"/>
      <c r="AP71" s="379"/>
      <c r="AQ71" s="379"/>
      <c r="AR71" s="379"/>
      <c r="AS71" s="174"/>
      <c r="AT71" s="171"/>
      <c r="AU71" s="171"/>
      <c r="AV71" s="174"/>
      <c r="AW71" s="171"/>
      <c r="AX71" s="171"/>
      <c r="AY71" s="174"/>
    </row>
    <row r="72" spans="4:53" ht="15">
      <c r="H72" s="126"/>
      <c r="I72" s="369" t="str">
        <f>IF(K14="","3º  do Grupo B",K14)</f>
        <v>3º  do Grupo B</v>
      </c>
      <c r="J72" s="369"/>
      <c r="K72" s="370"/>
      <c r="L72" s="69"/>
      <c r="M72" s="69"/>
      <c r="N72" s="70"/>
      <c r="O72" s="35" t="str">
        <f>IF(COUNT(L72:N72)&lt;1,"",IF(SUM(IF(L68&lt;L72,1,0),IF(M68&lt;M72,1,0),IF(N68&lt;N72,1,0))&gt;2,"??",SUM(IF(L68&lt;L72,1,0),IF(M68&lt;M72,1,0),IF(N68&lt;N72,1,0))))</f>
        <v/>
      </c>
      <c r="P72" s="376" t="str">
        <f>IF(P70="Disputa 9º/10º Jogador1","Disputa 11º/12º  Jogador1",IF(P70=I68,I72,I68))</f>
        <v>Disputa 11º/12º  Jogador1</v>
      </c>
      <c r="Q72" s="377"/>
      <c r="R72" s="378"/>
      <c r="S72" s="69"/>
      <c r="T72" s="69"/>
      <c r="U72" s="69"/>
      <c r="V72" s="49" t="str">
        <f>IF(COUNT(S72:U72)&lt;1,"",IF(SUM(IF(S72&gt;S76,1,0),IF(T72&gt;T76,1,0),IF(U72&gt;U76,1,0))&gt;2,"??",SUM(IF(S72&gt;S76,1,0),IF(T72&gt;T76,1,0),IF(U72&gt;U76,1,0))))</f>
        <v/>
      </c>
      <c r="W72" s="50"/>
      <c r="X72" s="48"/>
      <c r="Y72" s="53"/>
      <c r="Z72" s="53"/>
      <c r="AA72" s="53"/>
      <c r="AB72" s="53"/>
      <c r="AC72" s="53"/>
      <c r="AD72" s="54"/>
      <c r="AE72" s="113"/>
      <c r="AN72" s="176"/>
      <c r="AO72" s="285"/>
      <c r="AP72" s="379"/>
      <c r="AQ72" s="379"/>
      <c r="AR72" s="379"/>
      <c r="AS72" s="174"/>
      <c r="AT72" s="171"/>
      <c r="AU72" s="171"/>
      <c r="AV72" s="174"/>
      <c r="AW72" s="171"/>
      <c r="AX72" s="171"/>
      <c r="AY72" s="174"/>
    </row>
    <row r="73" spans="4:53" ht="12.75" customHeight="1">
      <c r="H73" s="126"/>
      <c r="I73" s="55"/>
      <c r="J73" s="40"/>
      <c r="K73" s="59"/>
      <c r="L73" s="46"/>
      <c r="M73" s="42"/>
      <c r="N73" s="42"/>
      <c r="O73" s="42"/>
      <c r="P73" s="55"/>
      <c r="Q73" s="51"/>
      <c r="R73" s="46"/>
      <c r="S73" s="46"/>
      <c r="T73" s="41"/>
      <c r="U73" s="41"/>
      <c r="V73" s="52"/>
      <c r="W73" s="50"/>
      <c r="X73" s="48"/>
      <c r="Y73" s="53"/>
      <c r="Z73" s="53"/>
      <c r="AA73" s="53"/>
      <c r="AB73" s="53"/>
      <c r="AC73" s="53"/>
      <c r="AD73" s="54"/>
      <c r="AE73" s="113"/>
      <c r="AN73" s="176"/>
      <c r="AO73" s="285"/>
      <c r="AP73" s="285"/>
      <c r="AQ73" s="172"/>
      <c r="AR73" s="173"/>
      <c r="AS73" s="174"/>
      <c r="AT73" s="171"/>
      <c r="AU73" s="171"/>
      <c r="AV73" s="174"/>
      <c r="AW73" s="171"/>
      <c r="AX73" s="171"/>
      <c r="AY73" s="174"/>
      <c r="AZ73" s="108"/>
      <c r="BA73" s="108"/>
    </row>
    <row r="74" spans="4:53" ht="15.75">
      <c r="H74" s="126"/>
      <c r="I74" s="55"/>
      <c r="J74" s="40"/>
      <c r="K74" s="59"/>
      <c r="L74" s="55"/>
      <c r="M74" s="42"/>
      <c r="N74" s="42"/>
      <c r="O74" s="42"/>
      <c r="P74" s="380" t="str">
        <f>IF(OR(V72="",V76="")=TRUE,"11º Classificado",IF(V72&gt;V76,P72,P76))</f>
        <v>11º Classificado</v>
      </c>
      <c r="Q74" s="380"/>
      <c r="R74" s="380"/>
      <c r="S74" s="380"/>
      <c r="T74" s="380"/>
      <c r="U74" s="380"/>
      <c r="V74" s="65">
        <v>39</v>
      </c>
      <c r="W74" s="66">
        <v>40</v>
      </c>
      <c r="X74" s="381" t="str">
        <f>IF(OR(W70="",W78="")=TRUE,"9º Classificado",IF(W70&gt;W78,P70,P78))</f>
        <v>9º Classificado</v>
      </c>
      <c r="Y74" s="382"/>
      <c r="Z74" s="382"/>
      <c r="AA74" s="382"/>
      <c r="AB74" s="382"/>
      <c r="AC74" s="382"/>
      <c r="AD74" s="54"/>
      <c r="AE74" s="113"/>
      <c r="AN74" s="176"/>
      <c r="AO74" s="285"/>
      <c r="AP74" s="285"/>
      <c r="AQ74" s="172"/>
      <c r="AR74" s="173"/>
      <c r="AS74" s="174"/>
      <c r="AT74" s="171"/>
      <c r="AU74" s="171"/>
      <c r="AV74" s="174"/>
      <c r="AW74" s="171"/>
      <c r="AX74" s="171"/>
      <c r="AY74" s="174"/>
      <c r="AZ74" s="108"/>
      <c r="BA74" s="108"/>
    </row>
    <row r="75" spans="4:53" ht="15">
      <c r="H75" s="126"/>
      <c r="I75" s="55"/>
      <c r="J75" s="40"/>
      <c r="K75" s="59"/>
      <c r="L75" s="55"/>
      <c r="M75" s="42"/>
      <c r="N75" s="42"/>
      <c r="O75" s="42"/>
      <c r="P75" s="55"/>
      <c r="Q75" s="40"/>
      <c r="R75" s="55"/>
      <c r="S75" s="55"/>
      <c r="T75" s="42"/>
      <c r="U75" s="42"/>
      <c r="V75" s="56"/>
      <c r="W75" s="50"/>
      <c r="X75" s="48"/>
      <c r="Y75" s="383"/>
      <c r="Z75" s="383"/>
      <c r="AA75" s="383"/>
      <c r="AB75" s="383"/>
      <c r="AC75" s="383"/>
      <c r="AD75" s="54"/>
      <c r="AE75" s="113"/>
      <c r="AN75" s="176"/>
      <c r="AO75" s="285"/>
      <c r="AP75" s="285"/>
      <c r="AQ75" s="172"/>
      <c r="AR75" s="173"/>
      <c r="AS75" s="174"/>
      <c r="AT75" s="171"/>
      <c r="AU75" s="171"/>
      <c r="AV75" s="174"/>
      <c r="AW75" s="171"/>
      <c r="AX75" s="171"/>
      <c r="AY75" s="174"/>
      <c r="AZ75" s="108"/>
      <c r="BA75" s="108"/>
    </row>
    <row r="76" spans="4:53" ht="15">
      <c r="H76" s="126"/>
      <c r="I76" s="369" t="str">
        <f>IF(R14="","3º  do Grupo C",R14)</f>
        <v>3º  do Grupo C</v>
      </c>
      <c r="J76" s="369"/>
      <c r="K76" s="370"/>
      <c r="L76" s="69"/>
      <c r="M76" s="69"/>
      <c r="N76" s="70"/>
      <c r="O76" s="38" t="str">
        <f>IF(COUNT(L76:N76)&lt;1,"",IF(SUM(IF(L76&gt;L80,1,0),IF(M76&gt;M80,1,0),IF(N76&gt;N80,1,0))&gt;2,"??",SUM(IF(L76&gt;L80,1,0),IF(M76&gt;M80,1,0),IF(N76&gt;N80,1,0))))</f>
        <v/>
      </c>
      <c r="P76" s="371" t="str">
        <f>IF(P78="Disputa 9º/10º Jogador2","Disputa 11º/12º  Jogador2",IF(P78=I76,I80,I76))</f>
        <v>Disputa 11º/12º  Jogador2</v>
      </c>
      <c r="Q76" s="372"/>
      <c r="R76" s="373"/>
      <c r="S76" s="69"/>
      <c r="T76" s="69"/>
      <c r="U76" s="69"/>
      <c r="V76" s="49" t="str">
        <f>IF(COUNT(S76:U76)&lt;1,"",IF(SUM(IF(S72&lt;S76,1,0),IF(T72&lt;T76,1,0),IF(U72&lt;U76,1,0))&gt;2,"??",SUM(IF(S72&lt;S76,1,0),IF(T72&lt;T76,1,0),IF(U72&lt;U76,1,0))))</f>
        <v/>
      </c>
      <c r="W76" s="50"/>
      <c r="X76" s="48"/>
      <c r="Y76" s="53"/>
      <c r="Z76" s="53"/>
      <c r="AA76" s="53"/>
      <c r="AB76" s="57"/>
      <c r="AC76" s="57"/>
      <c r="AD76" s="58"/>
      <c r="AE76" s="113"/>
      <c r="AN76" s="176"/>
      <c r="AO76" s="285"/>
      <c r="AP76" s="285"/>
      <c r="AQ76" s="172"/>
      <c r="AR76" s="173"/>
      <c r="AS76" s="174"/>
      <c r="AT76" s="171"/>
      <c r="AU76" s="171"/>
      <c r="AV76" s="174"/>
      <c r="AW76" s="171"/>
      <c r="AX76" s="171"/>
      <c r="AY76" s="174"/>
      <c r="AZ76" s="108"/>
      <c r="BA76" s="108"/>
    </row>
    <row r="77" spans="4:53">
      <c r="H77" s="126"/>
      <c r="I77" s="55"/>
      <c r="J77" s="40"/>
      <c r="K77" s="59"/>
      <c r="L77" s="55"/>
      <c r="M77" s="41"/>
      <c r="N77" s="41"/>
      <c r="O77" s="42"/>
      <c r="P77" s="36"/>
      <c r="Q77" s="51"/>
      <c r="R77" s="46"/>
      <c r="S77" s="55"/>
      <c r="T77" s="42"/>
      <c r="U77" s="42"/>
      <c r="V77" s="67"/>
      <c r="W77" s="50"/>
      <c r="X77" s="48"/>
      <c r="Y77" s="53"/>
      <c r="Z77" s="53"/>
      <c r="AA77" s="53"/>
      <c r="AB77" s="53"/>
      <c r="AC77" s="53"/>
      <c r="AD77" s="54"/>
      <c r="AE77" s="113"/>
    </row>
    <row r="78" spans="4:53" ht="15">
      <c r="H78" s="126"/>
      <c r="I78" s="55"/>
      <c r="J78" s="40"/>
      <c r="K78" s="59"/>
      <c r="L78" s="55"/>
      <c r="M78" s="42"/>
      <c r="N78" s="42"/>
      <c r="O78" s="64">
        <v>38</v>
      </c>
      <c r="P78" s="374" t="str">
        <f>IF(OR(O76="",O80="")=TRUE,"Disputa 9º/10º Jogador2",IF(O76&gt;O80,I76,I80))</f>
        <v>Disputa 9º/10º Jogador2</v>
      </c>
      <c r="Q78" s="369"/>
      <c r="R78" s="369"/>
      <c r="S78" s="370"/>
      <c r="T78" s="69"/>
      <c r="U78" s="69"/>
      <c r="V78" s="69"/>
      <c r="W78" s="45" t="str">
        <f>IF(COUNT(T78:V78)&lt;1,"",IF(SUM(IF(T70&lt;T78,1,0),IF(U70&lt;U78,1,0),IF(V70&lt;V78,1,0))&gt;2,"??",SUM(IF(T70&lt;T78,1,0),IF(U70&lt;U78,1,0),IF(V70&lt;V78,1,0))))</f>
        <v/>
      </c>
      <c r="X78" s="48"/>
      <c r="Y78" s="53"/>
      <c r="Z78" s="53"/>
      <c r="AA78" s="53"/>
      <c r="AB78" s="53"/>
      <c r="AC78" s="53"/>
      <c r="AD78" s="54"/>
      <c r="AE78" s="113"/>
    </row>
    <row r="79" spans="4:53" ht="15" customHeight="1">
      <c r="H79" s="126"/>
      <c r="I79" s="55"/>
      <c r="J79" s="40"/>
      <c r="K79" s="59"/>
      <c r="L79" s="55"/>
      <c r="M79" s="42"/>
      <c r="N79" s="42"/>
      <c r="O79" s="42"/>
      <c r="P79" s="36"/>
      <c r="Q79" s="40"/>
      <c r="R79" s="55"/>
      <c r="S79" s="46"/>
      <c r="T79" s="55"/>
      <c r="U79" s="55"/>
      <c r="V79" s="60"/>
      <c r="W79" s="53"/>
      <c r="X79" s="48"/>
      <c r="Y79" s="53"/>
      <c r="Z79" s="53"/>
      <c r="AA79" s="53"/>
      <c r="AB79" s="53"/>
      <c r="AC79" s="53"/>
      <c r="AD79" s="54"/>
      <c r="AE79" s="113"/>
    </row>
    <row r="80" spans="4:53" ht="15">
      <c r="H80" s="126"/>
      <c r="I80" s="369" t="str">
        <f>IF(Y14="","3º  do Grupo D",Y14)</f>
        <v>3º  do Grupo D</v>
      </c>
      <c r="J80" s="369"/>
      <c r="K80" s="370"/>
      <c r="L80" s="69"/>
      <c r="M80" s="69"/>
      <c r="N80" s="70"/>
      <c r="O80" s="35" t="str">
        <f>IF(COUNT(L80:N80)&lt;1,"",IF(SUM(IF(L76&lt;L80,1,0),IF(M76&lt;M80,1,0),IF(N76&lt;N80,1,0))&gt;2,"??",SUM(IF(L76&lt;L80,1,0),IF(M76&lt;M80,1,0),IF(N76&lt;N80,1,0))))</f>
        <v/>
      </c>
      <c r="P80" s="36"/>
      <c r="Q80" s="40"/>
      <c r="R80" s="55"/>
      <c r="S80" s="55"/>
      <c r="T80" s="55"/>
      <c r="U80" s="55"/>
      <c r="V80" s="55"/>
      <c r="W80" s="54"/>
      <c r="X80" s="68"/>
      <c r="Y80" s="54"/>
      <c r="Z80" s="54"/>
      <c r="AA80" s="54"/>
      <c r="AB80" s="54"/>
      <c r="AC80" s="54"/>
      <c r="AD80" s="54"/>
      <c r="AE80" s="113"/>
    </row>
    <row r="81" spans="4:53">
      <c r="H81" s="128"/>
      <c r="I81" s="168"/>
      <c r="J81" s="169"/>
      <c r="K81" s="168"/>
      <c r="L81" s="170"/>
      <c r="M81" s="168"/>
      <c r="N81" s="168"/>
      <c r="O81" s="168"/>
      <c r="P81" s="168"/>
      <c r="Q81" s="169"/>
      <c r="R81" s="168"/>
      <c r="S81" s="168"/>
      <c r="T81" s="168"/>
      <c r="U81" s="168"/>
      <c r="V81" s="168"/>
      <c r="W81" s="122"/>
      <c r="X81" s="123"/>
      <c r="Y81" s="122"/>
      <c r="Z81" s="122"/>
      <c r="AA81" s="122"/>
      <c r="AB81" s="122"/>
      <c r="AC81" s="122"/>
      <c r="AD81" s="122"/>
      <c r="AE81" s="124"/>
    </row>
    <row r="82" spans="4:53" ht="6" customHeight="1">
      <c r="H82" s="54"/>
    </row>
    <row r="83" spans="4:53" ht="13.5" thickBot="1">
      <c r="D83" s="54"/>
      <c r="H83" s="125"/>
      <c r="I83" s="61"/>
      <c r="J83" s="167"/>
      <c r="K83" s="61"/>
      <c r="L83" s="61"/>
      <c r="M83" s="61"/>
      <c r="N83" s="61"/>
      <c r="O83" s="61"/>
      <c r="P83" s="61"/>
      <c r="Q83" s="167"/>
      <c r="R83" s="61"/>
      <c r="S83" s="61"/>
      <c r="T83" s="61"/>
      <c r="U83" s="61"/>
      <c r="V83" s="61"/>
      <c r="W83" s="61"/>
      <c r="X83" s="167"/>
      <c r="Y83" s="61"/>
      <c r="Z83" s="61"/>
      <c r="AA83" s="61"/>
      <c r="AB83" s="61"/>
      <c r="AC83" s="61"/>
      <c r="AD83" s="61"/>
      <c r="AE83" s="3"/>
      <c r="AN83" s="176"/>
      <c r="AO83" s="285"/>
      <c r="AP83" s="379"/>
      <c r="AQ83" s="379"/>
      <c r="AR83" s="379"/>
      <c r="AS83" s="174"/>
      <c r="AT83" s="171"/>
      <c r="AU83" s="171"/>
      <c r="AV83" s="174"/>
      <c r="AW83" s="171"/>
      <c r="AX83" s="171"/>
      <c r="AY83" s="174"/>
    </row>
    <row r="84" spans="4:53">
      <c r="D84" s="54"/>
      <c r="H84" s="126"/>
      <c r="I84" s="388" t="s">
        <v>241</v>
      </c>
      <c r="J84" s="388"/>
      <c r="K84" s="388"/>
      <c r="L84" s="388"/>
      <c r="M84" s="388"/>
      <c r="N84" s="388"/>
      <c r="O84" s="388"/>
      <c r="P84" s="388"/>
      <c r="Q84" s="388"/>
      <c r="R84" s="388"/>
      <c r="S84" s="388"/>
      <c r="T84" s="388"/>
      <c r="U84" s="388"/>
      <c r="V84" s="388"/>
      <c r="W84" s="388"/>
      <c r="X84" s="68"/>
      <c r="Y84" s="389" t="s">
        <v>0</v>
      </c>
      <c r="Z84" s="390"/>
      <c r="AA84" s="390"/>
      <c r="AB84" s="390"/>
      <c r="AC84" s="390"/>
      <c r="AD84" s="391"/>
      <c r="AE84" s="113"/>
      <c r="AN84" s="176"/>
      <c r="AO84" s="285"/>
      <c r="AP84" s="379"/>
      <c r="AQ84" s="379"/>
      <c r="AR84" s="379"/>
      <c r="AS84" s="174"/>
      <c r="AT84" s="171"/>
      <c r="AU84" s="171"/>
      <c r="AV84" s="174"/>
      <c r="AW84" s="171"/>
      <c r="AX84" s="171"/>
      <c r="AY84" s="174"/>
    </row>
    <row r="85" spans="4:53" ht="13.5" thickBot="1">
      <c r="D85" s="54"/>
      <c r="H85" s="126"/>
      <c r="I85" s="388"/>
      <c r="J85" s="388"/>
      <c r="K85" s="388"/>
      <c r="L85" s="388"/>
      <c r="M85" s="388"/>
      <c r="N85" s="388"/>
      <c r="O85" s="388"/>
      <c r="P85" s="388"/>
      <c r="Q85" s="388"/>
      <c r="R85" s="388"/>
      <c r="S85" s="388"/>
      <c r="T85" s="388"/>
      <c r="U85" s="388"/>
      <c r="V85" s="388"/>
      <c r="W85" s="388"/>
      <c r="X85" s="68"/>
      <c r="Y85" s="392"/>
      <c r="Z85" s="393"/>
      <c r="AA85" s="393"/>
      <c r="AB85" s="393"/>
      <c r="AC85" s="393"/>
      <c r="AD85" s="394"/>
      <c r="AE85" s="113"/>
      <c r="AN85" s="176"/>
      <c r="AO85" s="285"/>
      <c r="AP85" s="379"/>
      <c r="AQ85" s="379"/>
      <c r="AR85" s="379"/>
      <c r="AS85" s="174"/>
      <c r="AT85" s="171"/>
      <c r="AU85" s="171"/>
      <c r="AV85" s="174"/>
      <c r="AW85" s="171"/>
      <c r="AX85" s="171"/>
      <c r="AY85" s="174"/>
    </row>
    <row r="86" spans="4:53" ht="15.75">
      <c r="H86" s="126"/>
      <c r="I86" s="369" t="str">
        <f>IF(D15="","4º  do Grupo A",D15)</f>
        <v>4º  do Grupo A</v>
      </c>
      <c r="J86" s="369"/>
      <c r="K86" s="370"/>
      <c r="L86" s="69"/>
      <c r="M86" s="69"/>
      <c r="N86" s="70"/>
      <c r="O86" s="38" t="str">
        <f>IF(COUNT(L86:N86)&lt;1,"",IF(SUM(IF(L86&gt;L90,1,0),IF(M86&gt;M90,1,0),IF(N86&gt;N90,1,0))&gt;2,"??",SUM(IF(L86&gt;L90,1,0),IF(M86&gt;M90,1,0),IF(N86&gt;N90,1,0))))</f>
        <v/>
      </c>
      <c r="P86" s="55"/>
      <c r="Q86" s="40"/>
      <c r="R86" s="55"/>
      <c r="S86" s="55"/>
      <c r="T86" s="55"/>
      <c r="U86" s="55"/>
      <c r="V86" s="55"/>
      <c r="W86" s="54"/>
      <c r="X86" s="68"/>
      <c r="Y86" s="395" t="str">
        <f>IF(X92="13º Classificado","",X92)</f>
        <v/>
      </c>
      <c r="Z86" s="396"/>
      <c r="AA86" s="396"/>
      <c r="AB86" s="396"/>
      <c r="AC86" s="396"/>
      <c r="AD86" s="39" t="s">
        <v>242</v>
      </c>
      <c r="AE86" s="113"/>
      <c r="AN86" s="176"/>
      <c r="AO86" s="285"/>
      <c r="AP86" s="379"/>
      <c r="AQ86" s="379"/>
      <c r="AR86" s="379"/>
      <c r="AS86" s="174"/>
      <c r="AT86" s="171"/>
      <c r="AU86" s="171"/>
      <c r="AV86" s="174"/>
      <c r="AW86" s="171"/>
      <c r="AX86" s="171"/>
      <c r="AY86" s="174"/>
    </row>
    <row r="87" spans="4:53" ht="15" customHeight="1">
      <c r="H87" s="126"/>
      <c r="I87" s="55"/>
      <c r="J87" s="40"/>
      <c r="K87" s="59"/>
      <c r="L87" s="55"/>
      <c r="M87" s="41"/>
      <c r="N87" s="41"/>
      <c r="O87" s="42"/>
      <c r="P87" s="36"/>
      <c r="Q87" s="40"/>
      <c r="R87" s="55"/>
      <c r="S87" s="55"/>
      <c r="T87" s="55"/>
      <c r="U87" s="55"/>
      <c r="V87" s="60"/>
      <c r="W87" s="53"/>
      <c r="X87" s="48"/>
      <c r="Y87" s="384" t="str">
        <f>IF(Y86="","",IF(Y86=P88,P96,P88))</f>
        <v/>
      </c>
      <c r="Z87" s="385" t="e">
        <f>IF(#REF!="","",IF(#REF!=W87,"","(2º) "))</f>
        <v>#REF!</v>
      </c>
      <c r="AA87" s="385" t="e">
        <f>IF(#REF!="","",IF(#REF!=X87,"","(2º) "))</f>
        <v>#REF!</v>
      </c>
      <c r="AB87" s="385" t="e">
        <f>IF(#REF!="","",IF(#REF!=Y87,"","(2º) "))</f>
        <v>#REF!</v>
      </c>
      <c r="AC87" s="385" t="e">
        <f>IF(#REF!="","",IF(#REF!=Z87,"","(2º) "))</f>
        <v>#REF!</v>
      </c>
      <c r="AD87" s="43" t="s">
        <v>243</v>
      </c>
      <c r="AE87" s="113"/>
      <c r="AN87" s="176"/>
      <c r="AO87" s="285"/>
      <c r="AP87" s="379"/>
      <c r="AQ87" s="379"/>
      <c r="AR87" s="379"/>
      <c r="AS87" s="174"/>
      <c r="AT87" s="171"/>
      <c r="AU87" s="171"/>
      <c r="AV87" s="174"/>
      <c r="AW87" s="171"/>
      <c r="AX87" s="171"/>
      <c r="AY87" s="174"/>
    </row>
    <row r="88" spans="4:53" ht="15" customHeight="1">
      <c r="H88" s="126"/>
      <c r="I88" s="55"/>
      <c r="J88" s="40"/>
      <c r="K88" s="59"/>
      <c r="L88" s="55"/>
      <c r="M88" s="42"/>
      <c r="N88" s="42"/>
      <c r="O88" s="64">
        <v>41</v>
      </c>
      <c r="P88" s="374" t="str">
        <f>IF(OR(O86="",O90="")=TRUE,"Disputa 13º/14º Jogador1",IF(O86&gt;O90,I86,I90))</f>
        <v>Disputa 13º/14º Jogador1</v>
      </c>
      <c r="Q88" s="369"/>
      <c r="R88" s="369"/>
      <c r="S88" s="370"/>
      <c r="T88" s="69"/>
      <c r="U88" s="69"/>
      <c r="V88" s="69"/>
      <c r="W88" s="45" t="str">
        <f>IF(COUNT(T88:V88)&lt;1,"",IF(SUM(IF(T88&gt;T96,1,0),IF(U88&gt;U96,1,0),IF(V88&gt;V96,1,0))&gt;2,"??",SUM(IF(T88&gt;T96,1,0),IF(U88&gt;U96,1,0),IF(V88&gt;V96,1,0))))</f>
        <v/>
      </c>
      <c r="X88" s="48"/>
      <c r="Y88" s="384" t="str">
        <f>IF(P92="15º Classificado","",P92)</f>
        <v/>
      </c>
      <c r="Z88" s="385"/>
      <c r="AA88" s="385"/>
      <c r="AB88" s="385"/>
      <c r="AC88" s="385"/>
      <c r="AD88" s="43" t="s">
        <v>244</v>
      </c>
      <c r="AE88" s="113"/>
      <c r="AN88" s="176"/>
      <c r="AO88" s="285"/>
      <c r="AP88" s="379"/>
      <c r="AQ88" s="379"/>
      <c r="AR88" s="379"/>
      <c r="AS88" s="174"/>
      <c r="AT88" s="171"/>
      <c r="AU88" s="171"/>
      <c r="AV88" s="174"/>
      <c r="AW88" s="171"/>
      <c r="AX88" s="171"/>
      <c r="AY88" s="174"/>
    </row>
    <row r="89" spans="4:53" ht="15.75" thickBot="1">
      <c r="H89" s="126"/>
      <c r="I89" s="55"/>
      <c r="J89" s="40"/>
      <c r="K89" s="59"/>
      <c r="L89" s="55"/>
      <c r="M89" s="42"/>
      <c r="N89" s="42"/>
      <c r="O89" s="42"/>
      <c r="P89" s="36"/>
      <c r="Q89" s="40"/>
      <c r="R89" s="55"/>
      <c r="S89" s="46"/>
      <c r="T89" s="42"/>
      <c r="U89" s="42"/>
      <c r="V89" s="67"/>
      <c r="W89" s="47"/>
      <c r="X89" s="48"/>
      <c r="Y89" s="386" t="str">
        <f>IF(Y88="","",IF(Y88=P90,P94,P90))</f>
        <v/>
      </c>
      <c r="Z89" s="387"/>
      <c r="AA89" s="387"/>
      <c r="AB89" s="387"/>
      <c r="AC89" s="387"/>
      <c r="AD89" s="164" t="s">
        <v>245</v>
      </c>
      <c r="AE89" s="113"/>
      <c r="AN89" s="176"/>
      <c r="AO89" s="285"/>
      <c r="AP89" s="379"/>
      <c r="AQ89" s="379"/>
      <c r="AR89" s="379"/>
      <c r="AS89" s="174"/>
      <c r="AT89" s="171"/>
      <c r="AU89" s="171"/>
      <c r="AV89" s="174"/>
      <c r="AW89" s="171"/>
      <c r="AX89" s="171"/>
      <c r="AY89" s="174"/>
    </row>
    <row r="90" spans="4:53" ht="15">
      <c r="H90" s="126"/>
      <c r="I90" s="369" t="str">
        <f>IF(K15="","4º  do Grupo B",K15)</f>
        <v>4º  do Grupo B</v>
      </c>
      <c r="J90" s="369"/>
      <c r="K90" s="370"/>
      <c r="L90" s="69"/>
      <c r="M90" s="69"/>
      <c r="N90" s="70"/>
      <c r="O90" s="35" t="str">
        <f>IF(COUNT(L90:N90)&lt;1,"",IF(SUM(IF(L86&lt;L90,1,0),IF(M86&lt;M90,1,0),IF(N86&lt;N90,1,0))&gt;2,"??",SUM(IF(L86&lt;L90,1,0),IF(M86&lt;M90,1,0),IF(N86&lt;N90,1,0))))</f>
        <v/>
      </c>
      <c r="P90" s="376" t="str">
        <f>IF(P88="Disputa 13º/14º Jogador1","Disputa 15º/16º  Jogador1",IF(P88=I86,I90,I86))</f>
        <v>Disputa 15º/16º  Jogador1</v>
      </c>
      <c r="Q90" s="377"/>
      <c r="R90" s="378"/>
      <c r="S90" s="69"/>
      <c r="T90" s="69"/>
      <c r="U90" s="69"/>
      <c r="V90" s="49" t="str">
        <f>IF(COUNT(S90:U90)&lt;1,"",IF(SUM(IF(S90&gt;S94,1,0),IF(T90&gt;T94,1,0),IF(U90&gt;U94,1,0))&gt;2,"??",SUM(IF(S90&gt;S94,1,0),IF(T90&gt;T94,1,0),IF(U90&gt;U94,1,0))))</f>
        <v/>
      </c>
      <c r="W90" s="50"/>
      <c r="X90" s="48"/>
      <c r="Y90" s="53"/>
      <c r="Z90" s="53"/>
      <c r="AA90" s="53"/>
      <c r="AB90" s="53"/>
      <c r="AC90" s="53"/>
      <c r="AD90" s="54"/>
      <c r="AE90" s="113"/>
      <c r="AN90" s="176"/>
      <c r="AO90" s="285"/>
      <c r="AP90" s="379"/>
      <c r="AQ90" s="379"/>
      <c r="AR90" s="379"/>
      <c r="AS90" s="174"/>
      <c r="AT90" s="171"/>
      <c r="AU90" s="171"/>
      <c r="AV90" s="174"/>
      <c r="AW90" s="171"/>
      <c r="AX90" s="171"/>
      <c r="AY90" s="174"/>
    </row>
    <row r="91" spans="4:53" ht="12.75" customHeight="1">
      <c r="H91" s="126"/>
      <c r="I91" s="55"/>
      <c r="J91" s="40"/>
      <c r="K91" s="59"/>
      <c r="L91" s="46"/>
      <c r="M91" s="42"/>
      <c r="N91" s="42"/>
      <c r="O91" s="42"/>
      <c r="P91" s="55"/>
      <c r="Q91" s="51"/>
      <c r="R91" s="46"/>
      <c r="S91" s="46"/>
      <c r="T91" s="41"/>
      <c r="U91" s="41"/>
      <c r="V91" s="52"/>
      <c r="W91" s="50"/>
      <c r="X91" s="48"/>
      <c r="Y91" s="53"/>
      <c r="Z91" s="53"/>
      <c r="AA91" s="53"/>
      <c r="AB91" s="53"/>
      <c r="AC91" s="53"/>
      <c r="AD91" s="54"/>
      <c r="AE91" s="113"/>
      <c r="AN91" s="176"/>
      <c r="AO91" s="285"/>
      <c r="AP91" s="285"/>
      <c r="AQ91" s="172"/>
      <c r="AR91" s="173"/>
      <c r="AS91" s="174"/>
      <c r="AT91" s="171"/>
      <c r="AU91" s="171"/>
      <c r="AV91" s="174"/>
      <c r="AW91" s="171"/>
      <c r="AX91" s="171"/>
      <c r="AY91" s="174"/>
      <c r="AZ91" s="108"/>
      <c r="BA91" s="108"/>
    </row>
    <row r="92" spans="4:53" ht="15.75">
      <c r="H92" s="126"/>
      <c r="I92" s="55"/>
      <c r="J92" s="40"/>
      <c r="K92" s="59"/>
      <c r="L92" s="55"/>
      <c r="M92" s="42"/>
      <c r="N92" s="42"/>
      <c r="O92" s="42"/>
      <c r="P92" s="380" t="str">
        <f>IF(OR(V90="",V94="")=TRUE,"15º Classificado",IF(V90&gt;V94,P90,P94))</f>
        <v>15º Classificado</v>
      </c>
      <c r="Q92" s="380"/>
      <c r="R92" s="380"/>
      <c r="S92" s="380"/>
      <c r="T92" s="380"/>
      <c r="U92" s="380"/>
      <c r="V92" s="65">
        <v>43</v>
      </c>
      <c r="W92" s="66">
        <v>44</v>
      </c>
      <c r="X92" s="381" t="str">
        <f>IF(OR(W88="",W96="")=TRUE,"13º Classificado",IF(W88&gt;W96,P88,P96))</f>
        <v>13º Classificado</v>
      </c>
      <c r="Y92" s="382"/>
      <c r="Z92" s="382"/>
      <c r="AA92" s="382"/>
      <c r="AB92" s="382"/>
      <c r="AC92" s="382"/>
      <c r="AD92" s="54"/>
      <c r="AE92" s="113"/>
      <c r="AN92" s="176"/>
      <c r="AO92" s="285"/>
      <c r="AP92" s="285"/>
      <c r="AQ92" s="172"/>
      <c r="AR92" s="173"/>
      <c r="AS92" s="174"/>
      <c r="AT92" s="171"/>
      <c r="AU92" s="171"/>
      <c r="AV92" s="174"/>
      <c r="AW92" s="171"/>
      <c r="AX92" s="171"/>
      <c r="AY92" s="174"/>
      <c r="AZ92" s="108"/>
      <c r="BA92" s="108"/>
    </row>
    <row r="93" spans="4:53" ht="15">
      <c r="H93" s="126"/>
      <c r="I93" s="55"/>
      <c r="J93" s="40"/>
      <c r="K93" s="59"/>
      <c r="L93" s="55"/>
      <c r="M93" s="42"/>
      <c r="N93" s="42"/>
      <c r="O93" s="42"/>
      <c r="P93" s="55"/>
      <c r="Q93" s="40"/>
      <c r="R93" s="55"/>
      <c r="S93" s="55"/>
      <c r="T93" s="42"/>
      <c r="U93" s="42"/>
      <c r="V93" s="56"/>
      <c r="W93" s="50"/>
      <c r="X93" s="48"/>
      <c r="Y93" s="383"/>
      <c r="Z93" s="383"/>
      <c r="AA93" s="383"/>
      <c r="AB93" s="383"/>
      <c r="AC93" s="383"/>
      <c r="AD93" s="54"/>
      <c r="AE93" s="113"/>
      <c r="AN93" s="176"/>
      <c r="AO93" s="285"/>
      <c r="AP93" s="285"/>
      <c r="AQ93" s="172"/>
      <c r="AR93" s="173"/>
      <c r="AS93" s="174"/>
      <c r="AT93" s="171"/>
      <c r="AU93" s="171"/>
      <c r="AV93" s="174"/>
      <c r="AW93" s="171"/>
      <c r="AX93" s="171"/>
      <c r="AY93" s="174"/>
      <c r="AZ93" s="108"/>
      <c r="BA93" s="108"/>
    </row>
    <row r="94" spans="4:53" ht="15">
      <c r="H94" s="126"/>
      <c r="I94" s="369" t="str">
        <f>IF(R15="","4º  do Grupo C",R15)</f>
        <v>4º  do Grupo C</v>
      </c>
      <c r="J94" s="369"/>
      <c r="K94" s="370"/>
      <c r="L94" s="69"/>
      <c r="M94" s="69"/>
      <c r="N94" s="70"/>
      <c r="O94" s="38" t="str">
        <f>IF(COUNT(L94:N94)&lt;1,"",IF(SUM(IF(L94&gt;L98,1,0),IF(M94&gt;M98,1,0),IF(N94&gt;N98,1,0))&gt;2,"??",SUM(IF(L94&gt;L98,1,0),IF(M94&gt;M98,1,0),IF(N94&gt;N98,1,0))))</f>
        <v/>
      </c>
      <c r="P94" s="371" t="str">
        <f>IF(P96="Disputa 13º/14º Jogador2","Disputa 15º/16º  Jogador2",IF(P96=I94,I98,I94))</f>
        <v>Disputa 15º/16º  Jogador2</v>
      </c>
      <c r="Q94" s="372"/>
      <c r="R94" s="373"/>
      <c r="S94" s="69"/>
      <c r="T94" s="69"/>
      <c r="U94" s="69"/>
      <c r="V94" s="49" t="str">
        <f>IF(COUNT(S94:U94)&lt;1,"",IF(SUM(IF(S90&lt;S94,1,0),IF(T90&lt;T94,1,0),IF(U90&lt;U94,1,0))&gt;2,"??",SUM(IF(S90&lt;S94,1,0),IF(T90&lt;T94,1,0),IF(U90&lt;U94,1,0))))</f>
        <v/>
      </c>
      <c r="W94" s="50"/>
      <c r="X94" s="48"/>
      <c r="Y94" s="53"/>
      <c r="Z94" s="53"/>
      <c r="AA94" s="53"/>
      <c r="AB94" s="57"/>
      <c r="AC94" s="57"/>
      <c r="AD94" s="58"/>
      <c r="AE94" s="113"/>
      <c r="AN94" s="176"/>
      <c r="AO94" s="285"/>
      <c r="AP94" s="285"/>
      <c r="AQ94" s="172"/>
      <c r="AR94" s="173"/>
      <c r="AS94" s="174"/>
      <c r="AT94" s="171"/>
      <c r="AU94" s="171"/>
      <c r="AV94" s="174"/>
      <c r="AW94" s="171"/>
      <c r="AX94" s="171"/>
      <c r="AY94" s="174"/>
      <c r="AZ94" s="108"/>
      <c r="BA94" s="108"/>
    </row>
    <row r="95" spans="4:53">
      <c r="H95" s="126"/>
      <c r="I95" s="55"/>
      <c r="J95" s="40"/>
      <c r="K95" s="59"/>
      <c r="L95" s="55"/>
      <c r="M95" s="41"/>
      <c r="N95" s="41"/>
      <c r="O95" s="42"/>
      <c r="P95" s="36"/>
      <c r="Q95" s="51"/>
      <c r="R95" s="46"/>
      <c r="S95" s="55"/>
      <c r="T95" s="42"/>
      <c r="U95" s="42"/>
      <c r="V95" s="67"/>
      <c r="W95" s="50"/>
      <c r="X95" s="48"/>
      <c r="Y95" s="53"/>
      <c r="Z95" s="53"/>
      <c r="AA95" s="53"/>
      <c r="AB95" s="53"/>
      <c r="AC95" s="53"/>
      <c r="AD95" s="54"/>
      <c r="AE95" s="113"/>
    </row>
    <row r="96" spans="4:53" ht="15">
      <c r="H96" s="126"/>
      <c r="I96" s="55"/>
      <c r="J96" s="40"/>
      <c r="K96" s="59"/>
      <c r="L96" s="55"/>
      <c r="M96" s="42"/>
      <c r="N96" s="42"/>
      <c r="O96" s="64">
        <v>42</v>
      </c>
      <c r="P96" s="374" t="str">
        <f>IF(OR(O94="",O98="")=TRUE,"Disputa 13º/14º Jogador2",IF(O94&gt;O98,I94,I98))</f>
        <v>Disputa 13º/14º Jogador2</v>
      </c>
      <c r="Q96" s="369"/>
      <c r="R96" s="369"/>
      <c r="S96" s="370"/>
      <c r="T96" s="69"/>
      <c r="U96" s="69"/>
      <c r="V96" s="69"/>
      <c r="W96" s="45" t="str">
        <f>IF(COUNT(T96:V96)&lt;1,"",IF(SUM(IF(T88&lt;T96,1,0),IF(U88&lt;U96,1,0),IF(V88&lt;V96,1,0))&gt;2,"??",SUM(IF(T88&lt;T96,1,0),IF(U88&lt;U96,1,0),IF(V88&lt;V96,1,0))))</f>
        <v/>
      </c>
      <c r="X96" s="48"/>
      <c r="Y96" s="53"/>
      <c r="Z96" s="53"/>
      <c r="AA96" s="53"/>
      <c r="AB96" s="53"/>
      <c r="AC96" s="53"/>
      <c r="AD96" s="54"/>
      <c r="AE96" s="113"/>
    </row>
    <row r="97" spans="8:93" ht="15" customHeight="1">
      <c r="H97" s="126"/>
      <c r="I97" s="55"/>
      <c r="J97" s="40"/>
      <c r="K97" s="59"/>
      <c r="L97" s="55"/>
      <c r="M97" s="42"/>
      <c r="N97" s="42"/>
      <c r="O97" s="42"/>
      <c r="P97" s="36"/>
      <c r="Q97" s="40"/>
      <c r="R97" s="55"/>
      <c r="S97" s="46"/>
      <c r="T97" s="55"/>
      <c r="U97" s="55"/>
      <c r="V97" s="60"/>
      <c r="W97" s="53"/>
      <c r="X97" s="48"/>
      <c r="Y97" s="53"/>
      <c r="Z97" s="53"/>
      <c r="AA97" s="53"/>
      <c r="AB97" s="53"/>
      <c r="AC97" s="53"/>
      <c r="AD97" s="54"/>
      <c r="AE97" s="113"/>
    </row>
    <row r="98" spans="8:93" ht="15">
      <c r="H98" s="126"/>
      <c r="I98" s="369" t="str">
        <f>IF(Y15="","4º  do Grupo D",Y15)</f>
        <v>4º  do Grupo D</v>
      </c>
      <c r="J98" s="369"/>
      <c r="K98" s="370"/>
      <c r="L98" s="69"/>
      <c r="M98" s="69"/>
      <c r="N98" s="70"/>
      <c r="O98" s="35" t="str">
        <f>IF(COUNT(L98:N98)&lt;1,"",IF(SUM(IF(L94&lt;L98,1,0),IF(M94&lt;M98,1,0),IF(N94&lt;N98,1,0))&gt;2,"??",SUM(IF(L94&lt;L98,1,0),IF(M94&lt;M98,1,0),IF(N94&lt;N98,1,0))))</f>
        <v/>
      </c>
      <c r="P98" s="36"/>
      <c r="Q98" s="40"/>
      <c r="R98" s="55"/>
      <c r="S98" s="55"/>
      <c r="T98" s="55"/>
      <c r="U98" s="55"/>
      <c r="V98" s="55"/>
      <c r="W98" s="54"/>
      <c r="X98" s="68"/>
      <c r="Y98" s="54"/>
      <c r="Z98" s="54"/>
      <c r="AA98" s="54"/>
      <c r="AB98" s="54"/>
      <c r="AC98" s="54"/>
      <c r="AD98" s="54"/>
      <c r="AE98" s="113"/>
    </row>
    <row r="99" spans="8:93">
      <c r="H99" s="128"/>
      <c r="I99" s="168"/>
      <c r="J99" s="169"/>
      <c r="K99" s="168"/>
      <c r="L99" s="170"/>
      <c r="M99" s="168"/>
      <c r="N99" s="168"/>
      <c r="O99" s="168"/>
      <c r="P99" s="168"/>
      <c r="Q99" s="169"/>
      <c r="R99" s="168"/>
      <c r="S99" s="168"/>
      <c r="T99" s="168"/>
      <c r="U99" s="168"/>
      <c r="V99" s="168"/>
      <c r="W99" s="122"/>
      <c r="X99" s="123"/>
      <c r="Y99" s="122"/>
      <c r="Z99" s="122"/>
      <c r="AA99" s="122"/>
      <c r="AB99" s="122"/>
      <c r="AC99" s="122"/>
      <c r="AD99" s="122"/>
      <c r="AE99" s="124"/>
    </row>
    <row r="100" spans="8:93" ht="48.75" customHeight="1" thickBot="1">
      <c r="AZ100" s="375"/>
      <c r="BA100" s="375"/>
      <c r="BB100" s="375"/>
      <c r="BC100" s="375"/>
      <c r="BD100" s="375"/>
      <c r="BE100" s="375"/>
      <c r="BF100" s="375"/>
      <c r="BG100" s="375"/>
      <c r="BH100" s="375"/>
      <c r="BI100" s="375"/>
      <c r="BJ100" s="375"/>
      <c r="BK100" s="375"/>
      <c r="BL100" s="375"/>
      <c r="BM100" s="375"/>
      <c r="BN100" s="375"/>
      <c r="BO100" s="375"/>
      <c r="BP100" s="375"/>
      <c r="BQ100" s="375"/>
      <c r="BR100" s="375"/>
      <c r="BS100" s="375"/>
      <c r="BT100" s="375"/>
      <c r="BU100" s="375"/>
      <c r="BV100" s="375"/>
      <c r="BW100" s="375"/>
      <c r="BX100" s="375"/>
      <c r="BY100" s="375"/>
      <c r="BZ100" s="375"/>
      <c r="CA100" s="375"/>
      <c r="CB100" s="375"/>
      <c r="CC100" s="375"/>
      <c r="CD100" s="375"/>
      <c r="CE100" s="375"/>
      <c r="CF100" s="375"/>
      <c r="CG100" s="375"/>
    </row>
    <row r="101" spans="8:93" ht="38.25" customHeight="1" thickBot="1">
      <c r="AZ101" s="87"/>
      <c r="BA101" s="367" t="str">
        <f>IF(BB102="","",CONCATENATE(VLOOKUP(BB102,$CI$102:$CO$145,2,FALSE),"  -  ",VLOOKUP(BB102,$CI$102:$CO$145,3,FALSE),,"  -  ",VLOOKUP(BB102,$CI$102:$CO$145,4,FALSE),"  -  ",VLOOKUP(BB102,$CI$102:$CO$145,5,FALSE)))</f>
        <v>Iniciados  -  Pares  -  Femininos  -  Grupo A</v>
      </c>
      <c r="BB101" s="367"/>
      <c r="BC101" s="367"/>
      <c r="BD101" s="367"/>
      <c r="BE101" s="367"/>
      <c r="BF101" s="367"/>
      <c r="BG101" s="367"/>
      <c r="BH101" s="367"/>
      <c r="BI101" s="367"/>
      <c r="BJ101" s="367"/>
      <c r="BK101" s="367"/>
      <c r="BL101" s="367"/>
      <c r="BM101" s="367"/>
      <c r="BN101" s="86"/>
      <c r="BO101" s="86"/>
      <c r="BP101" s="86"/>
      <c r="BQ101" s="86"/>
      <c r="BR101" s="86"/>
      <c r="BS101" s="86"/>
      <c r="BT101" s="86"/>
      <c r="BU101" s="86"/>
      <c r="BV101" s="86"/>
      <c r="BW101" s="86"/>
      <c r="BX101" s="86"/>
      <c r="BY101" s="86"/>
      <c r="BZ101" s="86"/>
      <c r="CA101" s="86"/>
      <c r="CB101" s="86"/>
      <c r="CC101" s="86"/>
      <c r="CD101" s="86"/>
      <c r="CE101" s="86"/>
      <c r="CF101" s="86"/>
      <c r="CG101" s="76"/>
      <c r="CI101" s="132" t="s">
        <v>26</v>
      </c>
      <c r="CJ101" s="132" t="s">
        <v>27</v>
      </c>
      <c r="CK101" s="132" t="s">
        <v>29</v>
      </c>
      <c r="CL101" s="132" t="s">
        <v>28</v>
      </c>
      <c r="CM101" s="132" t="s">
        <v>42</v>
      </c>
      <c r="CN101" s="132" t="s">
        <v>32</v>
      </c>
      <c r="CO101" s="132" t="s">
        <v>33</v>
      </c>
    </row>
    <row r="102" spans="8:93" ht="20.25" customHeight="1">
      <c r="AZ102" s="88"/>
      <c r="BA102" s="89" t="s">
        <v>25</v>
      </c>
      <c r="BB102" s="137">
        <f>IF($AG$27="","",$AG$27)</f>
        <v>1</v>
      </c>
      <c r="BC102" s="84"/>
      <c r="BD102" s="84"/>
      <c r="BE102" s="84"/>
      <c r="BF102" s="84"/>
      <c r="BG102" s="84"/>
      <c r="BH102" s="84"/>
      <c r="BI102" s="177" t="s">
        <v>51</v>
      </c>
      <c r="BJ102" s="84"/>
      <c r="BK102" s="84"/>
      <c r="BL102" s="294"/>
      <c r="BM102" s="295"/>
      <c r="BN102" s="90"/>
      <c r="BO102" s="90"/>
      <c r="BP102" s="90"/>
      <c r="BQ102" s="91"/>
      <c r="BR102" s="84"/>
      <c r="BS102" s="84"/>
      <c r="BT102" s="84"/>
      <c r="BU102" s="84"/>
      <c r="BV102" s="84"/>
      <c r="BW102" s="84"/>
      <c r="BX102" s="84"/>
      <c r="BY102" s="84"/>
      <c r="BZ102" s="84"/>
      <c r="CA102" s="84"/>
      <c r="CB102" s="84"/>
      <c r="CC102" s="84"/>
      <c r="CD102" s="84"/>
      <c r="CE102" s="84"/>
      <c r="CF102" s="84"/>
      <c r="CG102" s="92"/>
      <c r="CI102" s="133">
        <f>$C$16</f>
        <v>1</v>
      </c>
      <c r="CJ102" s="134" t="str">
        <f t="shared" ref="CJ102:CJ145" si="0">$H$2</f>
        <v>Iniciados</v>
      </c>
      <c r="CK102" s="134" t="str">
        <f t="shared" ref="CK102:CK145" si="1">$H$3</f>
        <v>Pares</v>
      </c>
      <c r="CL102" s="134" t="str">
        <f t="shared" ref="CL102:CL145" si="2">$Q$3</f>
        <v>Femininos</v>
      </c>
      <c r="CM102" s="134" t="str">
        <f>$C$5</f>
        <v>Grupo A</v>
      </c>
      <c r="CN102" s="134" t="str">
        <f>$D$16</f>
        <v>Joana P/Carla S (AE Sertã)</v>
      </c>
      <c r="CO102" s="134" t="str">
        <f>$D$17</f>
        <v>A4</v>
      </c>
    </row>
    <row r="103" spans="8:93" ht="7.5" customHeight="1">
      <c r="AZ103" s="88"/>
      <c r="BA103" s="84"/>
      <c r="BB103" s="84"/>
      <c r="BC103" s="84"/>
      <c r="BD103" s="84"/>
      <c r="BE103" s="84"/>
      <c r="BF103" s="84"/>
      <c r="BG103" s="84"/>
      <c r="BH103" s="84"/>
      <c r="BI103" s="84"/>
      <c r="BJ103" s="84"/>
      <c r="BK103" s="84"/>
      <c r="BL103" s="296"/>
      <c r="BM103" s="297"/>
      <c r="BN103" s="84"/>
      <c r="BO103" s="84"/>
      <c r="BP103" s="84"/>
      <c r="BQ103" s="84"/>
      <c r="BR103" s="84"/>
      <c r="BS103" s="84"/>
      <c r="BT103" s="84"/>
      <c r="BU103" s="84"/>
      <c r="BV103" s="84"/>
      <c r="BW103" s="84"/>
      <c r="BX103" s="84"/>
      <c r="BY103" s="84"/>
      <c r="BZ103" s="84"/>
      <c r="CA103" s="84"/>
      <c r="CB103" s="84"/>
      <c r="CC103" s="84"/>
      <c r="CD103" s="84"/>
      <c r="CE103" s="84"/>
      <c r="CF103" s="84"/>
      <c r="CG103" s="92"/>
      <c r="CI103" s="135">
        <f>$C$18</f>
        <v>2</v>
      </c>
      <c r="CJ103" s="135" t="str">
        <f t="shared" si="0"/>
        <v>Iniciados</v>
      </c>
      <c r="CK103" s="135" t="str">
        <f t="shared" si="1"/>
        <v>Pares</v>
      </c>
      <c r="CL103" s="135" t="str">
        <f t="shared" si="2"/>
        <v>Femininos</v>
      </c>
      <c r="CM103" s="135" t="str">
        <f>$C$5</f>
        <v>Grupo A</v>
      </c>
      <c r="CN103" s="135" t="str">
        <f>$D$18</f>
        <v>A2</v>
      </c>
      <c r="CO103" s="135" t="str">
        <f>$D$19</f>
        <v>A3</v>
      </c>
    </row>
    <row r="104" spans="8:93" ht="17.25" customHeight="1" thickBot="1">
      <c r="AZ104" s="88"/>
      <c r="BA104" s="368" t="s">
        <v>34</v>
      </c>
      <c r="BB104" s="368"/>
      <c r="BC104" s="93" t="s">
        <v>20</v>
      </c>
      <c r="BD104" s="93"/>
      <c r="BE104" s="93"/>
      <c r="BF104" s="93" t="s">
        <v>21</v>
      </c>
      <c r="BG104" s="93"/>
      <c r="BH104" s="93"/>
      <c r="BI104" s="93" t="s">
        <v>22</v>
      </c>
      <c r="BJ104" s="93"/>
      <c r="BK104" s="93"/>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92"/>
      <c r="CI104" s="135">
        <f>$J$16</f>
        <v>3</v>
      </c>
      <c r="CJ104" s="135" t="str">
        <f t="shared" si="0"/>
        <v>Iniciados</v>
      </c>
      <c r="CK104" s="135" t="str">
        <f t="shared" si="1"/>
        <v>Pares</v>
      </c>
      <c r="CL104" s="135" t="str">
        <f t="shared" si="2"/>
        <v>Femininos</v>
      </c>
      <c r="CM104" s="135" t="str">
        <f>$J$5</f>
        <v>Grupo B</v>
      </c>
      <c r="CN104" s="135" t="str">
        <f>$K$16</f>
        <v>B1</v>
      </c>
      <c r="CO104" s="135" t="str">
        <f>$K$17</f>
        <v>B4</v>
      </c>
    </row>
    <row r="105" spans="8:93" ht="19.5" customHeight="1">
      <c r="AZ105" s="88"/>
      <c r="BA105" s="350" t="str">
        <f>IF(BB102="","",VLOOKUP(BB102,$CI$102:$CO$145,6,FALSE))</f>
        <v>Joana P/Carla S (AE Sertã)</v>
      </c>
      <c r="BB105" s="351"/>
      <c r="BC105" s="354"/>
      <c r="BD105" s="355"/>
      <c r="BE105" s="356"/>
      <c r="BF105" s="354"/>
      <c r="BG105" s="355"/>
      <c r="BH105" s="356"/>
      <c r="BI105" s="354"/>
      <c r="BJ105" s="355"/>
      <c r="BK105" s="356"/>
      <c r="BL105" s="72"/>
      <c r="BM105" s="72"/>
      <c r="BN105" s="360"/>
      <c r="BO105" s="360"/>
      <c r="BP105" s="360"/>
      <c r="BQ105" s="94"/>
      <c r="BR105" s="95"/>
      <c r="BS105" s="84"/>
      <c r="BT105" s="84"/>
      <c r="BU105" s="84"/>
      <c r="BV105" s="84"/>
      <c r="BW105" s="84"/>
      <c r="BX105" s="84"/>
      <c r="BY105" s="84"/>
      <c r="BZ105" s="84"/>
      <c r="CA105" s="84"/>
      <c r="CB105" s="84"/>
      <c r="CC105" s="84"/>
      <c r="CD105" s="84"/>
      <c r="CE105" s="84"/>
      <c r="CF105" s="84"/>
      <c r="CG105" s="92"/>
      <c r="CI105" s="135">
        <f>$J$18</f>
        <v>4</v>
      </c>
      <c r="CJ105" s="135" t="str">
        <f t="shared" si="0"/>
        <v>Iniciados</v>
      </c>
      <c r="CK105" s="135" t="str">
        <f t="shared" si="1"/>
        <v>Pares</v>
      </c>
      <c r="CL105" s="135" t="str">
        <f t="shared" si="2"/>
        <v>Femininos</v>
      </c>
      <c r="CM105" s="135" t="str">
        <f>$J$5</f>
        <v>Grupo B</v>
      </c>
      <c r="CN105" s="135" t="str">
        <f>$K$18</f>
        <v>B2</v>
      </c>
      <c r="CO105" s="135" t="str">
        <f>$K$19</f>
        <v>B3</v>
      </c>
    </row>
    <row r="106" spans="8:93" ht="19.5" customHeight="1" thickBot="1">
      <c r="AZ106" s="88"/>
      <c r="BA106" s="352"/>
      <c r="BB106" s="353"/>
      <c r="BC106" s="357"/>
      <c r="BD106" s="358"/>
      <c r="BE106" s="359"/>
      <c r="BF106" s="357"/>
      <c r="BG106" s="358"/>
      <c r="BH106" s="359"/>
      <c r="BI106" s="357"/>
      <c r="BJ106" s="358"/>
      <c r="BK106" s="359"/>
      <c r="BL106" s="72"/>
      <c r="BM106" s="72"/>
      <c r="BN106" s="360"/>
      <c r="BO106" s="360"/>
      <c r="BP106" s="360"/>
      <c r="BQ106" s="94"/>
      <c r="BR106" s="95"/>
      <c r="BS106" s="84"/>
      <c r="BT106" s="84"/>
      <c r="BU106" s="84"/>
      <c r="BV106" s="84"/>
      <c r="BW106" s="84"/>
      <c r="BX106" s="84"/>
      <c r="BY106" s="84"/>
      <c r="BZ106" s="84"/>
      <c r="CA106" s="84"/>
      <c r="CB106" s="84"/>
      <c r="CC106" s="84"/>
      <c r="CD106" s="84"/>
      <c r="CE106" s="84"/>
      <c r="CF106" s="84"/>
      <c r="CG106" s="92"/>
      <c r="CI106" s="135">
        <f>$Q$16</f>
        <v>5</v>
      </c>
      <c r="CJ106" s="135" t="str">
        <f t="shared" si="0"/>
        <v>Iniciados</v>
      </c>
      <c r="CK106" s="135" t="str">
        <f t="shared" si="1"/>
        <v>Pares</v>
      </c>
      <c r="CL106" s="135" t="str">
        <f t="shared" si="2"/>
        <v>Femininos</v>
      </c>
      <c r="CM106" s="135" t="str">
        <f>$Q$5</f>
        <v>Grupo C</v>
      </c>
      <c r="CN106" s="135" t="str">
        <f>$R$16</f>
        <v>C1</v>
      </c>
      <c r="CO106" s="135" t="str">
        <f>$R$17</f>
        <v>C4</v>
      </c>
    </row>
    <row r="107" spans="8:93" ht="19.5" customHeight="1">
      <c r="AZ107" s="88"/>
      <c r="BA107" s="350" t="str">
        <f>IF(BB102="","",VLOOKUP(BB102,$CI$102:$CO$145,7,FALSE))</f>
        <v>A4</v>
      </c>
      <c r="BB107" s="351"/>
      <c r="BC107" s="354"/>
      <c r="BD107" s="355"/>
      <c r="BE107" s="356"/>
      <c r="BF107" s="354"/>
      <c r="BG107" s="355"/>
      <c r="BH107" s="356"/>
      <c r="BI107" s="354"/>
      <c r="BJ107" s="355"/>
      <c r="BK107" s="356"/>
      <c r="BL107" s="72"/>
      <c r="BM107" s="72"/>
      <c r="BN107" s="360"/>
      <c r="BO107" s="360"/>
      <c r="BP107" s="360"/>
      <c r="BQ107" s="94"/>
      <c r="BR107" s="95"/>
      <c r="BS107" s="84"/>
      <c r="BT107" s="84"/>
      <c r="BU107" s="84"/>
      <c r="BV107" s="84"/>
      <c r="BW107" s="84"/>
      <c r="BX107" s="84"/>
      <c r="BY107" s="84"/>
      <c r="BZ107" s="84"/>
      <c r="CA107" s="84"/>
      <c r="CB107" s="84"/>
      <c r="CC107" s="84"/>
      <c r="CD107" s="84"/>
      <c r="CE107" s="84"/>
      <c r="CF107" s="84"/>
      <c r="CG107" s="92"/>
      <c r="CI107" s="135">
        <f>$Q$18</f>
        <v>6</v>
      </c>
      <c r="CJ107" s="135" t="str">
        <f t="shared" si="0"/>
        <v>Iniciados</v>
      </c>
      <c r="CK107" s="135" t="str">
        <f t="shared" si="1"/>
        <v>Pares</v>
      </c>
      <c r="CL107" s="135" t="str">
        <f t="shared" si="2"/>
        <v>Femininos</v>
      </c>
      <c r="CM107" s="135" t="str">
        <f>$Q$5</f>
        <v>Grupo C</v>
      </c>
      <c r="CN107" s="135" t="str">
        <f>$R$18</f>
        <v>C2</v>
      </c>
      <c r="CO107" s="135" t="str">
        <f>$R$19</f>
        <v>C3</v>
      </c>
    </row>
    <row r="108" spans="8:93" ht="19.5" customHeight="1" thickBot="1">
      <c r="AZ108" s="88"/>
      <c r="BA108" s="352"/>
      <c r="BB108" s="353"/>
      <c r="BC108" s="357"/>
      <c r="BD108" s="358"/>
      <c r="BE108" s="359"/>
      <c r="BF108" s="357"/>
      <c r="BG108" s="358"/>
      <c r="BH108" s="359"/>
      <c r="BI108" s="357"/>
      <c r="BJ108" s="358"/>
      <c r="BK108" s="359"/>
      <c r="BL108" s="72"/>
      <c r="BM108" s="72"/>
      <c r="BN108" s="360"/>
      <c r="BO108" s="360"/>
      <c r="BP108" s="360"/>
      <c r="BQ108" s="96"/>
      <c r="BR108" s="95"/>
      <c r="BS108" s="84"/>
      <c r="BT108" s="84"/>
      <c r="BU108" s="84"/>
      <c r="BV108" s="84"/>
      <c r="BW108" s="84"/>
      <c r="BX108" s="84"/>
      <c r="BY108" s="84"/>
      <c r="BZ108" s="84"/>
      <c r="CA108" s="84"/>
      <c r="CB108" s="84"/>
      <c r="CC108" s="84"/>
      <c r="CD108" s="84"/>
      <c r="CE108" s="84"/>
      <c r="CF108" s="84"/>
      <c r="CG108" s="92"/>
      <c r="CI108" s="135">
        <f>$X$16</f>
        <v>7</v>
      </c>
      <c r="CJ108" s="135" t="str">
        <f t="shared" si="0"/>
        <v>Iniciados</v>
      </c>
      <c r="CK108" s="135" t="str">
        <f t="shared" si="1"/>
        <v>Pares</v>
      </c>
      <c r="CL108" s="135" t="str">
        <f t="shared" si="2"/>
        <v>Femininos</v>
      </c>
      <c r="CM108" s="135" t="str">
        <f>$X$5</f>
        <v>Grupo D</v>
      </c>
      <c r="CN108" s="135" t="str">
        <f>$Y$16</f>
        <v>D1</v>
      </c>
      <c r="CO108" s="135" t="str">
        <f>$Y$17</f>
        <v>D4</v>
      </c>
    </row>
    <row r="109" spans="8:93" ht="22.5" customHeight="1" thickBot="1">
      <c r="AZ109" s="88"/>
      <c r="BA109" s="97" t="s">
        <v>23</v>
      </c>
      <c r="BB109" s="361"/>
      <c r="BC109" s="362"/>
      <c r="BD109" s="362"/>
      <c r="BE109" s="362"/>
      <c r="BF109" s="363"/>
      <c r="BG109" s="363"/>
      <c r="BH109" s="363"/>
      <c r="BI109" s="363"/>
      <c r="BJ109" s="363"/>
      <c r="BK109" s="363"/>
      <c r="BL109" s="364"/>
      <c r="BM109" s="365"/>
      <c r="BN109" s="365"/>
      <c r="BO109" s="365"/>
      <c r="BP109" s="365"/>
      <c r="BQ109" s="95"/>
      <c r="BR109" s="95"/>
      <c r="BS109" s="84"/>
      <c r="BT109" s="84"/>
      <c r="BU109" s="84"/>
      <c r="BV109" s="84"/>
      <c r="BW109" s="84"/>
      <c r="BX109" s="84"/>
      <c r="BY109" s="84"/>
      <c r="BZ109" s="84"/>
      <c r="CA109" s="84"/>
      <c r="CB109" s="84"/>
      <c r="CC109" s="84"/>
      <c r="CD109" s="84"/>
      <c r="CE109" s="84"/>
      <c r="CF109" s="84"/>
      <c r="CG109" s="92"/>
      <c r="CI109" s="135">
        <f>$X$18</f>
        <v>8</v>
      </c>
      <c r="CJ109" s="135" t="str">
        <f t="shared" si="0"/>
        <v>Iniciados</v>
      </c>
      <c r="CK109" s="135" t="str">
        <f t="shared" si="1"/>
        <v>Pares</v>
      </c>
      <c r="CL109" s="135" t="str">
        <f t="shared" si="2"/>
        <v>Femininos</v>
      </c>
      <c r="CM109" s="135" t="str">
        <f>$X$5</f>
        <v>Grupo D</v>
      </c>
      <c r="CN109" s="135" t="str">
        <f>$Y$18</f>
        <v>D2</v>
      </c>
      <c r="CO109" s="135" t="str">
        <f>$Y$19</f>
        <v>D3</v>
      </c>
    </row>
    <row r="110" spans="8:93" ht="18.75" customHeight="1">
      <c r="AZ110" s="88"/>
      <c r="BA110" s="73" t="s">
        <v>34</v>
      </c>
      <c r="BB110" s="73"/>
      <c r="BC110" s="73"/>
      <c r="BD110" s="73"/>
      <c r="BE110" s="73"/>
      <c r="BF110" s="73"/>
      <c r="BG110" s="73"/>
      <c r="BH110" s="93"/>
      <c r="BI110" s="93"/>
      <c r="BJ110" s="93"/>
      <c r="BK110" s="93"/>
      <c r="BL110" s="93"/>
      <c r="BM110" s="93"/>
      <c r="BN110" s="93"/>
      <c r="BO110" s="93"/>
      <c r="BP110" s="93"/>
      <c r="BQ110" s="93"/>
      <c r="BR110" s="84"/>
      <c r="BS110" s="84"/>
      <c r="BT110" s="84"/>
      <c r="BU110" s="84"/>
      <c r="BV110" s="84"/>
      <c r="BW110" s="84"/>
      <c r="BX110" s="84"/>
      <c r="BY110" s="84"/>
      <c r="BZ110" s="84"/>
      <c r="CA110" s="84"/>
      <c r="CB110" s="84"/>
      <c r="CC110" s="84"/>
      <c r="CD110" s="84"/>
      <c r="CE110" s="84"/>
      <c r="CF110" s="84"/>
      <c r="CG110" s="92"/>
      <c r="CI110" s="135">
        <f>$C$20</f>
        <v>9</v>
      </c>
      <c r="CJ110" s="135" t="str">
        <f t="shared" si="0"/>
        <v>Iniciados</v>
      </c>
      <c r="CK110" s="135" t="str">
        <f t="shared" si="1"/>
        <v>Pares</v>
      </c>
      <c r="CL110" s="135" t="str">
        <f t="shared" si="2"/>
        <v>Femininos</v>
      </c>
      <c r="CM110" s="135" t="str">
        <f>$C$5</f>
        <v>Grupo A</v>
      </c>
      <c r="CN110" s="135" t="str">
        <f>$D$20</f>
        <v>A4</v>
      </c>
      <c r="CO110" s="135" t="str">
        <f>$D$21</f>
        <v>A3</v>
      </c>
    </row>
    <row r="111" spans="8:93" ht="15" customHeight="1">
      <c r="AZ111" s="88"/>
      <c r="BA111" s="346" t="str">
        <f>IF($BA$105="","",$BA$105)</f>
        <v>Joana P/Carla S (AE Sertã)</v>
      </c>
      <c r="BB111" s="347"/>
      <c r="BC111" s="74"/>
      <c r="BD111" s="75"/>
      <c r="BE111" s="75"/>
      <c r="BF111" s="75"/>
      <c r="BG111" s="75"/>
      <c r="BH111" s="75"/>
      <c r="BI111" s="75"/>
      <c r="BJ111" s="75"/>
      <c r="BK111" s="75"/>
      <c r="BL111" s="76"/>
      <c r="BM111" s="178"/>
      <c r="BN111" s="180"/>
      <c r="BO111" s="77"/>
      <c r="BP111" s="77"/>
      <c r="BQ111" s="77"/>
      <c r="BR111" s="78"/>
      <c r="BS111" s="75"/>
      <c r="BT111" s="75"/>
      <c r="BU111" s="75"/>
      <c r="BV111" s="75"/>
      <c r="BW111" s="178"/>
      <c r="BX111" s="76"/>
      <c r="BY111" s="75"/>
      <c r="BZ111" s="75"/>
      <c r="CA111" s="75"/>
      <c r="CB111" s="75"/>
      <c r="CC111" s="75"/>
      <c r="CD111" s="75"/>
      <c r="CE111" s="75"/>
      <c r="CF111" s="75"/>
      <c r="CG111" s="92"/>
      <c r="CI111" s="135">
        <f>$C$22</f>
        <v>10</v>
      </c>
      <c r="CJ111" s="135" t="str">
        <f t="shared" si="0"/>
        <v>Iniciados</v>
      </c>
      <c r="CK111" s="135" t="str">
        <f t="shared" si="1"/>
        <v>Pares</v>
      </c>
      <c r="CL111" s="135" t="str">
        <f t="shared" si="2"/>
        <v>Femininos</v>
      </c>
      <c r="CM111" s="135" t="str">
        <f>$C$5</f>
        <v>Grupo A</v>
      </c>
      <c r="CN111" s="135" t="str">
        <f>$D$22</f>
        <v>Joana P/Carla S (AE Sertã)</v>
      </c>
      <c r="CO111" s="135" t="str">
        <f>$D$23</f>
        <v>A2</v>
      </c>
    </row>
    <row r="112" spans="8:93" ht="15" customHeight="1">
      <c r="AZ112" s="88"/>
      <c r="BA112" s="348"/>
      <c r="BB112" s="349"/>
      <c r="BC112" s="79"/>
      <c r="BD112" s="80"/>
      <c r="BE112" s="80"/>
      <c r="BF112" s="80"/>
      <c r="BG112" s="80"/>
      <c r="BH112" s="80"/>
      <c r="BI112" s="80"/>
      <c r="BJ112" s="80"/>
      <c r="BK112" s="80"/>
      <c r="BL112" s="81"/>
      <c r="BM112" s="179"/>
      <c r="BN112" s="181"/>
      <c r="BO112" s="82"/>
      <c r="BP112" s="82"/>
      <c r="BQ112" s="82"/>
      <c r="BR112" s="83"/>
      <c r="BS112" s="80"/>
      <c r="BT112" s="80"/>
      <c r="BU112" s="80"/>
      <c r="BV112" s="80"/>
      <c r="BW112" s="179"/>
      <c r="BX112" s="81"/>
      <c r="BY112" s="80"/>
      <c r="BZ112" s="80"/>
      <c r="CA112" s="80"/>
      <c r="CB112" s="80"/>
      <c r="CC112" s="80"/>
      <c r="CD112" s="80"/>
      <c r="CE112" s="80"/>
      <c r="CF112" s="80"/>
      <c r="CG112" s="98" t="s">
        <v>1</v>
      </c>
      <c r="CI112" s="135">
        <f>$J$20</f>
        <v>11</v>
      </c>
      <c r="CJ112" s="135" t="str">
        <f t="shared" si="0"/>
        <v>Iniciados</v>
      </c>
      <c r="CK112" s="135" t="str">
        <f t="shared" si="1"/>
        <v>Pares</v>
      </c>
      <c r="CL112" s="135" t="str">
        <f t="shared" si="2"/>
        <v>Femininos</v>
      </c>
      <c r="CM112" s="135" t="str">
        <f>$J$5</f>
        <v>Grupo B</v>
      </c>
      <c r="CN112" s="135" t="str">
        <f>$K$20</f>
        <v>B4</v>
      </c>
      <c r="CO112" s="135" t="str">
        <f>$K$21</f>
        <v>B3</v>
      </c>
    </row>
    <row r="113" spans="52:93" ht="15" customHeight="1">
      <c r="AZ113" s="88"/>
      <c r="BA113" s="346" t="str">
        <f>IF($BA$107="","",$BA$107)</f>
        <v>A4</v>
      </c>
      <c r="BB113" s="347"/>
      <c r="BC113" s="74"/>
      <c r="BD113" s="75"/>
      <c r="BE113" s="75"/>
      <c r="BF113" s="75"/>
      <c r="BG113" s="75"/>
      <c r="BH113" s="75"/>
      <c r="BI113" s="75"/>
      <c r="BJ113" s="75"/>
      <c r="BK113" s="75"/>
      <c r="BL113" s="76"/>
      <c r="BM113" s="178"/>
      <c r="BN113" s="180"/>
      <c r="BO113" s="77"/>
      <c r="BP113" s="77"/>
      <c r="BQ113" s="77"/>
      <c r="BR113" s="78"/>
      <c r="BS113" s="75"/>
      <c r="BT113" s="75"/>
      <c r="BU113" s="75"/>
      <c r="BV113" s="75"/>
      <c r="BW113" s="178"/>
      <c r="BX113" s="76"/>
      <c r="BY113" s="75"/>
      <c r="BZ113" s="75"/>
      <c r="CA113" s="75"/>
      <c r="CB113" s="75"/>
      <c r="CC113" s="75"/>
      <c r="CD113" s="75"/>
      <c r="CE113" s="75"/>
      <c r="CF113" s="75"/>
      <c r="CG113" s="99"/>
      <c r="CI113" s="135">
        <f>$J$22</f>
        <v>12</v>
      </c>
      <c r="CJ113" s="135" t="str">
        <f t="shared" si="0"/>
        <v>Iniciados</v>
      </c>
      <c r="CK113" s="135" t="str">
        <f t="shared" si="1"/>
        <v>Pares</v>
      </c>
      <c r="CL113" s="135" t="str">
        <f t="shared" si="2"/>
        <v>Femininos</v>
      </c>
      <c r="CM113" s="135" t="str">
        <f>$J$5</f>
        <v>Grupo B</v>
      </c>
      <c r="CN113" s="135" t="str">
        <f>$K$22</f>
        <v>B1</v>
      </c>
      <c r="CO113" s="135" t="str">
        <f>$K$23</f>
        <v>B2</v>
      </c>
    </row>
    <row r="114" spans="52:93" ht="15" customHeight="1">
      <c r="AZ114" s="88"/>
      <c r="BA114" s="348"/>
      <c r="BB114" s="349"/>
      <c r="BC114" s="79"/>
      <c r="BD114" s="80"/>
      <c r="BE114" s="80"/>
      <c r="BF114" s="80"/>
      <c r="BG114" s="80"/>
      <c r="BH114" s="80"/>
      <c r="BI114" s="80"/>
      <c r="BJ114" s="80"/>
      <c r="BK114" s="80"/>
      <c r="BL114" s="81"/>
      <c r="BM114" s="179"/>
      <c r="BN114" s="181"/>
      <c r="BO114" s="82"/>
      <c r="BP114" s="82"/>
      <c r="BQ114" s="82"/>
      <c r="BR114" s="83"/>
      <c r="BS114" s="80"/>
      <c r="BT114" s="80"/>
      <c r="BU114" s="80"/>
      <c r="BV114" s="80"/>
      <c r="BW114" s="179"/>
      <c r="BX114" s="81"/>
      <c r="BY114" s="80"/>
      <c r="BZ114" s="80"/>
      <c r="CA114" s="80"/>
      <c r="CB114" s="80"/>
      <c r="CC114" s="80"/>
      <c r="CD114" s="80"/>
      <c r="CE114" s="80"/>
      <c r="CF114" s="80"/>
      <c r="CG114" s="92"/>
      <c r="CI114" s="135">
        <f>$Q$20</f>
        <v>13</v>
      </c>
      <c r="CJ114" s="135" t="str">
        <f t="shared" si="0"/>
        <v>Iniciados</v>
      </c>
      <c r="CK114" s="135" t="str">
        <f t="shared" si="1"/>
        <v>Pares</v>
      </c>
      <c r="CL114" s="135" t="str">
        <f t="shared" si="2"/>
        <v>Femininos</v>
      </c>
      <c r="CM114" s="135" t="str">
        <f>$Q$5</f>
        <v>Grupo C</v>
      </c>
      <c r="CN114" s="135" t="str">
        <f>$R$20</f>
        <v>C4</v>
      </c>
      <c r="CO114" s="135" t="str">
        <f>$R$21</f>
        <v>C3</v>
      </c>
    </row>
    <row r="115" spans="52:93" ht="12.75" customHeight="1">
      <c r="AZ115" s="88"/>
      <c r="BA115" s="84"/>
      <c r="BB115" s="84"/>
      <c r="BC115" s="100">
        <v>1</v>
      </c>
      <c r="BD115" s="100">
        <v>2</v>
      </c>
      <c r="BE115" s="100">
        <v>3</v>
      </c>
      <c r="BF115" s="100">
        <v>4</v>
      </c>
      <c r="BG115" s="100">
        <v>5</v>
      </c>
      <c r="BH115" s="100">
        <v>6</v>
      </c>
      <c r="BI115" s="100">
        <v>7</v>
      </c>
      <c r="BJ115" s="100">
        <v>8</v>
      </c>
      <c r="BK115" s="100">
        <v>9</v>
      </c>
      <c r="BL115" s="100">
        <v>10</v>
      </c>
      <c r="BM115" s="100">
        <v>11</v>
      </c>
      <c r="BN115" s="100">
        <v>12</v>
      </c>
      <c r="BO115" s="100">
        <v>13</v>
      </c>
      <c r="BP115" s="100">
        <v>14</v>
      </c>
      <c r="BQ115" s="100">
        <v>15</v>
      </c>
      <c r="BR115" s="100">
        <v>16</v>
      </c>
      <c r="BS115" s="100">
        <v>17</v>
      </c>
      <c r="BT115" s="100">
        <v>18</v>
      </c>
      <c r="BU115" s="100">
        <v>19</v>
      </c>
      <c r="BV115" s="100">
        <v>20</v>
      </c>
      <c r="BW115" s="100">
        <v>21</v>
      </c>
      <c r="BX115" s="100">
        <v>22</v>
      </c>
      <c r="BY115" s="100">
        <v>23</v>
      </c>
      <c r="BZ115" s="100">
        <v>24</v>
      </c>
      <c r="CA115" s="100">
        <v>25</v>
      </c>
      <c r="CB115" s="100">
        <v>26</v>
      </c>
      <c r="CC115" s="100">
        <v>27</v>
      </c>
      <c r="CD115" s="100">
        <v>28</v>
      </c>
      <c r="CE115" s="100">
        <v>29</v>
      </c>
      <c r="CF115" s="100">
        <v>30</v>
      </c>
      <c r="CG115" s="101"/>
      <c r="CI115" s="135">
        <f>$Q$22</f>
        <v>14</v>
      </c>
      <c r="CJ115" s="135" t="str">
        <f t="shared" si="0"/>
        <v>Iniciados</v>
      </c>
      <c r="CK115" s="135" t="str">
        <f t="shared" si="1"/>
        <v>Pares</v>
      </c>
      <c r="CL115" s="135" t="str">
        <f t="shared" si="2"/>
        <v>Femininos</v>
      </c>
      <c r="CM115" s="135" t="str">
        <f>$Q$5</f>
        <v>Grupo C</v>
      </c>
      <c r="CN115" s="135" t="str">
        <f>$R$22</f>
        <v>C1</v>
      </c>
      <c r="CO115" s="135" t="str">
        <f>$R$23</f>
        <v>C2</v>
      </c>
    </row>
    <row r="116" spans="52:93" ht="15" customHeight="1">
      <c r="AZ116" s="88"/>
      <c r="BA116" s="346" t="str">
        <f>IF($BA$105="","",$BA$105)</f>
        <v>Joana P/Carla S (AE Sertã)</v>
      </c>
      <c r="BB116" s="347"/>
      <c r="BC116" s="74"/>
      <c r="BD116" s="75"/>
      <c r="BE116" s="75"/>
      <c r="BF116" s="75"/>
      <c r="BG116" s="75"/>
      <c r="BH116" s="75"/>
      <c r="BI116" s="75"/>
      <c r="BJ116" s="75"/>
      <c r="BK116" s="75"/>
      <c r="BL116" s="76"/>
      <c r="BM116" s="178"/>
      <c r="BN116" s="180"/>
      <c r="BO116" s="77"/>
      <c r="BP116" s="77"/>
      <c r="BQ116" s="77"/>
      <c r="BR116" s="78"/>
      <c r="BS116" s="75"/>
      <c r="BT116" s="75"/>
      <c r="BU116" s="75"/>
      <c r="BV116" s="75"/>
      <c r="BW116" s="178"/>
      <c r="BX116" s="76"/>
      <c r="BY116" s="75"/>
      <c r="BZ116" s="75"/>
      <c r="CA116" s="75"/>
      <c r="CB116" s="75"/>
      <c r="CC116" s="75"/>
      <c r="CD116" s="75"/>
      <c r="CE116" s="75"/>
      <c r="CF116" s="75"/>
      <c r="CG116" s="92"/>
      <c r="CI116" s="135">
        <f>$X$20</f>
        <v>15</v>
      </c>
      <c r="CJ116" s="135" t="str">
        <f t="shared" si="0"/>
        <v>Iniciados</v>
      </c>
      <c r="CK116" s="135" t="str">
        <f t="shared" si="1"/>
        <v>Pares</v>
      </c>
      <c r="CL116" s="135" t="str">
        <f t="shared" si="2"/>
        <v>Femininos</v>
      </c>
      <c r="CM116" s="135" t="str">
        <f>$X$5</f>
        <v>Grupo D</v>
      </c>
      <c r="CN116" s="135" t="str">
        <f>$Y$20</f>
        <v>D4</v>
      </c>
      <c r="CO116" s="135" t="str">
        <f>$Y$21</f>
        <v>D3</v>
      </c>
    </row>
    <row r="117" spans="52:93" ht="15" customHeight="1">
      <c r="AZ117" s="88"/>
      <c r="BA117" s="348"/>
      <c r="BB117" s="349"/>
      <c r="BC117" s="79"/>
      <c r="BD117" s="80"/>
      <c r="BE117" s="80"/>
      <c r="BF117" s="80"/>
      <c r="BG117" s="80"/>
      <c r="BH117" s="80"/>
      <c r="BI117" s="80"/>
      <c r="BJ117" s="80"/>
      <c r="BK117" s="80"/>
      <c r="BL117" s="81"/>
      <c r="BM117" s="179"/>
      <c r="BN117" s="181"/>
      <c r="BO117" s="82"/>
      <c r="BP117" s="82"/>
      <c r="BQ117" s="82"/>
      <c r="BR117" s="83"/>
      <c r="BS117" s="80"/>
      <c r="BT117" s="80"/>
      <c r="BU117" s="80"/>
      <c r="BV117" s="80"/>
      <c r="BW117" s="179"/>
      <c r="BX117" s="81"/>
      <c r="BY117" s="80"/>
      <c r="BZ117" s="80"/>
      <c r="CA117" s="80"/>
      <c r="CB117" s="80"/>
      <c r="CC117" s="80"/>
      <c r="CD117" s="80"/>
      <c r="CE117" s="80"/>
      <c r="CF117" s="80"/>
      <c r="CG117" s="92"/>
      <c r="CI117" s="135">
        <f>$X$22</f>
        <v>16</v>
      </c>
      <c r="CJ117" s="135" t="str">
        <f t="shared" si="0"/>
        <v>Iniciados</v>
      </c>
      <c r="CK117" s="135" t="str">
        <f t="shared" si="1"/>
        <v>Pares</v>
      </c>
      <c r="CL117" s="135" t="str">
        <f t="shared" si="2"/>
        <v>Femininos</v>
      </c>
      <c r="CM117" s="135" t="str">
        <f>$X$5</f>
        <v>Grupo D</v>
      </c>
      <c r="CN117" s="135" t="str">
        <f>$Y$22</f>
        <v>D1</v>
      </c>
      <c r="CO117" s="135" t="str">
        <f>$Y$23</f>
        <v>D2</v>
      </c>
    </row>
    <row r="118" spans="52:93" ht="15" customHeight="1">
      <c r="AZ118" s="88"/>
      <c r="BA118" s="346" t="str">
        <f>IF($BA$107="","",$BA$107)</f>
        <v>A4</v>
      </c>
      <c r="BB118" s="347"/>
      <c r="BC118" s="74"/>
      <c r="BD118" s="75"/>
      <c r="BE118" s="75"/>
      <c r="BF118" s="75"/>
      <c r="BG118" s="75"/>
      <c r="BH118" s="75"/>
      <c r="BI118" s="75"/>
      <c r="BJ118" s="75"/>
      <c r="BK118" s="75"/>
      <c r="BL118" s="76"/>
      <c r="BM118" s="178"/>
      <c r="BN118" s="180"/>
      <c r="BO118" s="77"/>
      <c r="BP118" s="77"/>
      <c r="BQ118" s="77"/>
      <c r="BR118" s="78"/>
      <c r="BS118" s="75"/>
      <c r="BT118" s="75"/>
      <c r="BU118" s="75"/>
      <c r="BV118" s="75"/>
      <c r="BW118" s="178"/>
      <c r="BX118" s="76"/>
      <c r="BY118" s="75"/>
      <c r="BZ118" s="75"/>
      <c r="CA118" s="75"/>
      <c r="CB118" s="75"/>
      <c r="CC118" s="75"/>
      <c r="CD118" s="75"/>
      <c r="CE118" s="75"/>
      <c r="CF118" s="75"/>
      <c r="CG118" s="98" t="s">
        <v>2</v>
      </c>
      <c r="CI118" s="135">
        <f>$C$24</f>
        <v>17</v>
      </c>
      <c r="CJ118" s="135" t="str">
        <f t="shared" si="0"/>
        <v>Iniciados</v>
      </c>
      <c r="CK118" s="135" t="str">
        <f t="shared" si="1"/>
        <v>Pares</v>
      </c>
      <c r="CL118" s="135" t="str">
        <f t="shared" si="2"/>
        <v>Femininos</v>
      </c>
      <c r="CM118" s="135" t="str">
        <f>$C$5</f>
        <v>Grupo A</v>
      </c>
      <c r="CN118" s="135" t="str">
        <f>$D$24</f>
        <v>A2</v>
      </c>
      <c r="CO118" s="135" t="str">
        <f>$D$25</f>
        <v>A4</v>
      </c>
    </row>
    <row r="119" spans="52:93" ht="15" customHeight="1">
      <c r="AZ119" s="88"/>
      <c r="BA119" s="348"/>
      <c r="BB119" s="349"/>
      <c r="BC119" s="79"/>
      <c r="BD119" s="80"/>
      <c r="BE119" s="80"/>
      <c r="BF119" s="80"/>
      <c r="BG119" s="80"/>
      <c r="BH119" s="80"/>
      <c r="BI119" s="80"/>
      <c r="BJ119" s="80"/>
      <c r="BK119" s="80"/>
      <c r="BL119" s="81"/>
      <c r="BM119" s="179"/>
      <c r="BN119" s="181"/>
      <c r="BO119" s="82"/>
      <c r="BP119" s="82"/>
      <c r="BQ119" s="82"/>
      <c r="BR119" s="83"/>
      <c r="BS119" s="80"/>
      <c r="BT119" s="80"/>
      <c r="BU119" s="80"/>
      <c r="BV119" s="80"/>
      <c r="BW119" s="179"/>
      <c r="BX119" s="81"/>
      <c r="BY119" s="80"/>
      <c r="BZ119" s="80"/>
      <c r="CA119" s="80"/>
      <c r="CB119" s="80"/>
      <c r="CC119" s="80"/>
      <c r="CD119" s="80"/>
      <c r="CE119" s="80"/>
      <c r="CF119" s="80"/>
      <c r="CG119" s="92"/>
      <c r="CI119" s="135">
        <f>$C$26</f>
        <v>18</v>
      </c>
      <c r="CJ119" s="135" t="str">
        <f t="shared" si="0"/>
        <v>Iniciados</v>
      </c>
      <c r="CK119" s="135" t="str">
        <f t="shared" si="1"/>
        <v>Pares</v>
      </c>
      <c r="CL119" s="135" t="str">
        <f t="shared" si="2"/>
        <v>Femininos</v>
      </c>
      <c r="CM119" s="135" t="str">
        <f>$C$5</f>
        <v>Grupo A</v>
      </c>
      <c r="CN119" s="135" t="str">
        <f>$D$26</f>
        <v>A3</v>
      </c>
      <c r="CO119" s="135" t="str">
        <f>$D$27</f>
        <v>Joana P/Carla S (AE Sertã)</v>
      </c>
    </row>
    <row r="120" spans="52:93" ht="12.75" customHeight="1">
      <c r="AZ120" s="88"/>
      <c r="BA120" s="84"/>
      <c r="BB120" s="84"/>
      <c r="BC120" s="100">
        <v>1</v>
      </c>
      <c r="BD120" s="100">
        <v>2</v>
      </c>
      <c r="BE120" s="100">
        <v>3</v>
      </c>
      <c r="BF120" s="100">
        <v>4</v>
      </c>
      <c r="BG120" s="100">
        <v>5</v>
      </c>
      <c r="BH120" s="100">
        <v>6</v>
      </c>
      <c r="BI120" s="100">
        <v>7</v>
      </c>
      <c r="BJ120" s="100">
        <v>8</v>
      </c>
      <c r="BK120" s="100">
        <v>9</v>
      </c>
      <c r="BL120" s="100">
        <v>10</v>
      </c>
      <c r="BM120" s="100">
        <v>11</v>
      </c>
      <c r="BN120" s="100">
        <v>12</v>
      </c>
      <c r="BO120" s="100">
        <v>13</v>
      </c>
      <c r="BP120" s="100">
        <v>14</v>
      </c>
      <c r="BQ120" s="100">
        <v>15</v>
      </c>
      <c r="BR120" s="100">
        <v>16</v>
      </c>
      <c r="BS120" s="100">
        <v>17</v>
      </c>
      <c r="BT120" s="100">
        <v>18</v>
      </c>
      <c r="BU120" s="100">
        <v>19</v>
      </c>
      <c r="BV120" s="100">
        <v>20</v>
      </c>
      <c r="BW120" s="100">
        <v>21</v>
      </c>
      <c r="BX120" s="100">
        <v>22</v>
      </c>
      <c r="BY120" s="100">
        <v>23</v>
      </c>
      <c r="BZ120" s="100">
        <v>24</v>
      </c>
      <c r="CA120" s="100">
        <v>25</v>
      </c>
      <c r="CB120" s="100">
        <v>26</v>
      </c>
      <c r="CC120" s="100">
        <v>27</v>
      </c>
      <c r="CD120" s="100">
        <v>28</v>
      </c>
      <c r="CE120" s="100">
        <v>29</v>
      </c>
      <c r="CF120" s="100">
        <v>30</v>
      </c>
      <c r="CG120" s="101"/>
      <c r="CI120" s="135">
        <f>$J$24</f>
        <v>19</v>
      </c>
      <c r="CJ120" s="135" t="str">
        <f t="shared" si="0"/>
        <v>Iniciados</v>
      </c>
      <c r="CK120" s="135" t="str">
        <f t="shared" si="1"/>
        <v>Pares</v>
      </c>
      <c r="CL120" s="135" t="str">
        <f t="shared" si="2"/>
        <v>Femininos</v>
      </c>
      <c r="CM120" s="135" t="str">
        <f>$J$5</f>
        <v>Grupo B</v>
      </c>
      <c r="CN120" s="135" t="str">
        <f>$K$24</f>
        <v>B2</v>
      </c>
      <c r="CO120" s="135" t="str">
        <f>$K$25</f>
        <v>B4</v>
      </c>
    </row>
    <row r="121" spans="52:93" ht="15" customHeight="1">
      <c r="AZ121" s="88"/>
      <c r="BA121" s="346" t="str">
        <f>IF($BA$105="","",$BA$105)</f>
        <v>Joana P/Carla S (AE Sertã)</v>
      </c>
      <c r="BB121" s="347"/>
      <c r="BC121" s="74"/>
      <c r="BD121" s="75"/>
      <c r="BE121" s="75"/>
      <c r="BF121" s="75"/>
      <c r="BG121" s="75"/>
      <c r="BH121" s="75"/>
      <c r="BI121" s="75"/>
      <c r="BJ121" s="75"/>
      <c r="BK121" s="75"/>
      <c r="BL121" s="76"/>
      <c r="BM121" s="178"/>
      <c r="BN121" s="180"/>
      <c r="BO121" s="77"/>
      <c r="BP121" s="77"/>
      <c r="BQ121" s="77"/>
      <c r="BR121" s="78"/>
      <c r="BS121" s="75"/>
      <c r="BT121" s="75"/>
      <c r="BU121" s="75"/>
      <c r="BV121" s="75"/>
      <c r="BW121" s="178"/>
      <c r="BX121" s="76"/>
      <c r="BY121" s="75"/>
      <c r="BZ121" s="75"/>
      <c r="CA121" s="75"/>
      <c r="CB121" s="75"/>
      <c r="CC121" s="75"/>
      <c r="CD121" s="75"/>
      <c r="CE121" s="75"/>
      <c r="CF121" s="75"/>
      <c r="CG121" s="92"/>
      <c r="CI121" s="135">
        <f>$J$26</f>
        <v>20</v>
      </c>
      <c r="CJ121" s="135" t="str">
        <f t="shared" si="0"/>
        <v>Iniciados</v>
      </c>
      <c r="CK121" s="135" t="str">
        <f t="shared" si="1"/>
        <v>Pares</v>
      </c>
      <c r="CL121" s="135" t="str">
        <f t="shared" si="2"/>
        <v>Femininos</v>
      </c>
      <c r="CM121" s="135" t="str">
        <f>$J$5</f>
        <v>Grupo B</v>
      </c>
      <c r="CN121" s="135" t="str">
        <f>$K$26</f>
        <v>B3</v>
      </c>
      <c r="CO121" s="135" t="str">
        <f>$K$27</f>
        <v>B1</v>
      </c>
    </row>
    <row r="122" spans="52:93" ht="15" customHeight="1">
      <c r="AZ122" s="88"/>
      <c r="BA122" s="348"/>
      <c r="BB122" s="349"/>
      <c r="BC122" s="79"/>
      <c r="BD122" s="80"/>
      <c r="BE122" s="80"/>
      <c r="BF122" s="80"/>
      <c r="BG122" s="80"/>
      <c r="BH122" s="80"/>
      <c r="BI122" s="80"/>
      <c r="BJ122" s="80"/>
      <c r="BK122" s="80"/>
      <c r="BL122" s="81"/>
      <c r="BM122" s="179"/>
      <c r="BN122" s="181"/>
      <c r="BO122" s="82"/>
      <c r="BP122" s="82"/>
      <c r="BQ122" s="82"/>
      <c r="BR122" s="83"/>
      <c r="BS122" s="80"/>
      <c r="BT122" s="80"/>
      <c r="BU122" s="80"/>
      <c r="BV122" s="80"/>
      <c r="BW122" s="179"/>
      <c r="BX122" s="81"/>
      <c r="BY122" s="80"/>
      <c r="BZ122" s="80"/>
      <c r="CA122" s="80"/>
      <c r="CB122" s="80"/>
      <c r="CC122" s="80"/>
      <c r="CD122" s="80"/>
      <c r="CE122" s="80"/>
      <c r="CF122" s="80"/>
      <c r="CG122" s="92"/>
      <c r="CI122" s="135">
        <f>$Q$24</f>
        <v>21</v>
      </c>
      <c r="CJ122" s="135" t="str">
        <f t="shared" si="0"/>
        <v>Iniciados</v>
      </c>
      <c r="CK122" s="135" t="str">
        <f t="shared" si="1"/>
        <v>Pares</v>
      </c>
      <c r="CL122" s="135" t="str">
        <f t="shared" si="2"/>
        <v>Femininos</v>
      </c>
      <c r="CM122" s="135" t="str">
        <f>$Q$5</f>
        <v>Grupo C</v>
      </c>
      <c r="CN122" s="135" t="str">
        <f>$R$24</f>
        <v>C2</v>
      </c>
      <c r="CO122" s="135" t="str">
        <f>$R$25</f>
        <v>C4</v>
      </c>
    </row>
    <row r="123" spans="52:93" ht="15" customHeight="1">
      <c r="AZ123" s="88"/>
      <c r="BA123" s="346" t="str">
        <f>IF($BA$107="","",$BA$107)</f>
        <v>A4</v>
      </c>
      <c r="BB123" s="347"/>
      <c r="BC123" s="74"/>
      <c r="BD123" s="75"/>
      <c r="BE123" s="75"/>
      <c r="BF123" s="75"/>
      <c r="BG123" s="75"/>
      <c r="BH123" s="75"/>
      <c r="BI123" s="75"/>
      <c r="BJ123" s="75"/>
      <c r="BK123" s="75"/>
      <c r="BL123" s="76"/>
      <c r="BM123" s="178"/>
      <c r="BN123" s="180"/>
      <c r="BO123" s="77"/>
      <c r="BP123" s="77"/>
      <c r="BQ123" s="77"/>
      <c r="BR123" s="78"/>
      <c r="BS123" s="75"/>
      <c r="BT123" s="75"/>
      <c r="BU123" s="75"/>
      <c r="BV123" s="75"/>
      <c r="BW123" s="178"/>
      <c r="BX123" s="76"/>
      <c r="BY123" s="75"/>
      <c r="BZ123" s="75"/>
      <c r="CA123" s="75"/>
      <c r="CB123" s="75"/>
      <c r="CC123" s="75"/>
      <c r="CD123" s="75"/>
      <c r="CE123" s="75"/>
      <c r="CF123" s="75"/>
      <c r="CG123" s="98" t="s">
        <v>3</v>
      </c>
      <c r="CI123" s="135">
        <f>$Q$26</f>
        <v>22</v>
      </c>
      <c r="CJ123" s="135" t="str">
        <f t="shared" si="0"/>
        <v>Iniciados</v>
      </c>
      <c r="CK123" s="135" t="str">
        <f t="shared" si="1"/>
        <v>Pares</v>
      </c>
      <c r="CL123" s="135" t="str">
        <f t="shared" si="2"/>
        <v>Femininos</v>
      </c>
      <c r="CM123" s="135" t="str">
        <f>$Q$5</f>
        <v>Grupo C</v>
      </c>
      <c r="CN123" s="135" t="str">
        <f>$R$26</f>
        <v>C3</v>
      </c>
      <c r="CO123" s="135" t="str">
        <f>$R$27</f>
        <v>C1</v>
      </c>
    </row>
    <row r="124" spans="52:93" ht="15" customHeight="1">
      <c r="AZ124" s="88"/>
      <c r="BA124" s="348"/>
      <c r="BB124" s="349"/>
      <c r="BC124" s="79"/>
      <c r="BD124" s="80"/>
      <c r="BE124" s="80"/>
      <c r="BF124" s="80"/>
      <c r="BG124" s="80"/>
      <c r="BH124" s="80"/>
      <c r="BI124" s="80"/>
      <c r="BJ124" s="80"/>
      <c r="BK124" s="80"/>
      <c r="BL124" s="81"/>
      <c r="BM124" s="179"/>
      <c r="BN124" s="181"/>
      <c r="BO124" s="82"/>
      <c r="BP124" s="82"/>
      <c r="BQ124" s="82"/>
      <c r="BR124" s="83"/>
      <c r="BS124" s="80"/>
      <c r="BT124" s="80"/>
      <c r="BU124" s="80"/>
      <c r="BV124" s="80"/>
      <c r="BW124" s="179"/>
      <c r="BX124" s="81"/>
      <c r="BY124" s="80"/>
      <c r="BZ124" s="80"/>
      <c r="CA124" s="80"/>
      <c r="CB124" s="80"/>
      <c r="CC124" s="80"/>
      <c r="CD124" s="80"/>
      <c r="CE124" s="80"/>
      <c r="CF124" s="80"/>
      <c r="CG124" s="92"/>
      <c r="CI124" s="135">
        <f>$X$24</f>
        <v>23</v>
      </c>
      <c r="CJ124" s="135" t="str">
        <f t="shared" si="0"/>
        <v>Iniciados</v>
      </c>
      <c r="CK124" s="135" t="str">
        <f t="shared" si="1"/>
        <v>Pares</v>
      </c>
      <c r="CL124" s="135" t="str">
        <f t="shared" si="2"/>
        <v>Femininos</v>
      </c>
      <c r="CM124" s="135" t="str">
        <f>$X$5</f>
        <v>Grupo D</v>
      </c>
      <c r="CN124" s="135" t="str">
        <f>$Y$24</f>
        <v>D2</v>
      </c>
      <c r="CO124" s="135" t="str">
        <f>$Y$25</f>
        <v>D4</v>
      </c>
    </row>
    <row r="125" spans="52:93" ht="44.25" customHeight="1">
      <c r="AZ125" s="102"/>
      <c r="BA125" s="103" t="s">
        <v>35</v>
      </c>
      <c r="BB125" s="104"/>
      <c r="BC125" s="105"/>
      <c r="BD125" s="105"/>
      <c r="BE125" s="105"/>
      <c r="BF125" s="105"/>
      <c r="BG125" s="105"/>
      <c r="BH125" s="105"/>
      <c r="BI125" s="105"/>
      <c r="BJ125" s="105"/>
      <c r="BK125" s="105"/>
      <c r="BL125" s="105"/>
      <c r="BM125" s="105"/>
      <c r="BN125" s="105"/>
      <c r="BO125" s="105"/>
      <c r="BP125" s="105"/>
      <c r="BQ125" s="105"/>
      <c r="BR125" s="85"/>
      <c r="BS125" s="85"/>
      <c r="BT125" s="85"/>
      <c r="BU125" s="85"/>
      <c r="BV125" s="85"/>
      <c r="BW125" s="85"/>
      <c r="BX125" s="85"/>
      <c r="BY125" s="85"/>
      <c r="BZ125" s="85"/>
      <c r="CA125" s="85"/>
      <c r="CB125" s="85"/>
      <c r="CC125" s="85"/>
      <c r="CD125" s="85"/>
      <c r="CE125" s="85"/>
      <c r="CF125" s="85"/>
      <c r="CG125" s="81"/>
      <c r="CI125" s="135">
        <f>$X$26</f>
        <v>24</v>
      </c>
      <c r="CJ125" s="135" t="str">
        <f t="shared" si="0"/>
        <v>Iniciados</v>
      </c>
      <c r="CK125" s="135" t="str">
        <f t="shared" si="1"/>
        <v>Pares</v>
      </c>
      <c r="CL125" s="135" t="str">
        <f t="shared" si="2"/>
        <v>Femininos</v>
      </c>
      <c r="CM125" s="135" t="str">
        <f>$X$5</f>
        <v>Grupo D</v>
      </c>
      <c r="CN125" s="135" t="str">
        <f>$Y$26</f>
        <v>D3</v>
      </c>
      <c r="CO125" s="135" t="str">
        <f>$Y$27</f>
        <v>D1</v>
      </c>
    </row>
    <row r="126" spans="52:93" ht="185.25" customHeight="1">
      <c r="AZ126" s="366" t="s">
        <v>412</v>
      </c>
      <c r="BA126" s="366"/>
      <c r="BB126" s="366"/>
      <c r="BC126" s="366"/>
      <c r="BD126" s="366"/>
      <c r="BE126" s="366"/>
      <c r="BF126" s="366"/>
      <c r="BG126" s="366"/>
      <c r="BH126" s="366"/>
      <c r="BI126" s="366"/>
      <c r="BJ126" s="366"/>
      <c r="BK126" s="366"/>
      <c r="BL126" s="366"/>
      <c r="BM126" s="366"/>
      <c r="BN126" s="366"/>
      <c r="BO126" s="366"/>
      <c r="BP126" s="366"/>
      <c r="BQ126" s="366"/>
      <c r="BR126" s="366"/>
      <c r="BS126" s="366"/>
      <c r="BT126" s="366"/>
      <c r="BU126" s="366"/>
      <c r="BV126" s="366"/>
      <c r="BW126" s="366"/>
      <c r="BX126" s="366"/>
      <c r="BY126" s="366"/>
      <c r="BZ126" s="366"/>
      <c r="CA126" s="366"/>
      <c r="CB126" s="366"/>
      <c r="CC126" s="366"/>
      <c r="CD126" s="366"/>
      <c r="CE126" s="366"/>
      <c r="CF126" s="366"/>
      <c r="CG126" s="366"/>
      <c r="CI126" s="135">
        <f>$H$31</f>
        <v>25</v>
      </c>
      <c r="CJ126" s="135" t="str">
        <f t="shared" si="0"/>
        <v>Iniciados</v>
      </c>
      <c r="CK126" s="135" t="str">
        <f t="shared" si="1"/>
        <v>Pares</v>
      </c>
      <c r="CL126" s="135" t="str">
        <f t="shared" si="2"/>
        <v>Femininos</v>
      </c>
      <c r="CM126" s="135" t="str">
        <f>"1º Jogo dos 1/4 final"</f>
        <v>1º Jogo dos 1/4 final</v>
      </c>
      <c r="CN126" s="135" t="str">
        <f>$C$30</f>
        <v>Joana P/Carla S (AE Sertã)</v>
      </c>
      <c r="CO126" s="135" t="str">
        <f>$C$32</f>
        <v>2º do grupo B</v>
      </c>
    </row>
    <row r="127" spans="52:93" ht="38.25" customHeight="1">
      <c r="AZ127" s="87"/>
      <c r="BA127" s="367" t="str">
        <f>IF(BB128="","",CONCATENATE(VLOOKUP(BB128,$CI$102:$CO$145,2,FALSE),"  -  ",VLOOKUP(BB128,$CI$102:$CO$145,3,FALSE),,"  -  ",VLOOKUP(BB128,$CI$102:$CO$145,4,FALSE),"  -  ",VLOOKUP(BB128,$CI$102:$CO$145,5,FALSE)))</f>
        <v>Iniciados  -  Pares  -  Femininos  -  Grupo B</v>
      </c>
      <c r="BB127" s="367"/>
      <c r="BC127" s="367"/>
      <c r="BD127" s="367"/>
      <c r="BE127" s="367"/>
      <c r="BF127" s="367"/>
      <c r="BG127" s="367"/>
      <c r="BH127" s="367"/>
      <c r="BI127" s="367"/>
      <c r="BJ127" s="367"/>
      <c r="BK127" s="367"/>
      <c r="BL127" s="367"/>
      <c r="BM127" s="367"/>
      <c r="BN127" s="86"/>
      <c r="BO127" s="86"/>
      <c r="BP127" s="86"/>
      <c r="BQ127" s="86"/>
      <c r="BR127" s="86"/>
      <c r="BS127" s="86"/>
      <c r="BT127" s="86"/>
      <c r="BU127" s="86"/>
      <c r="BV127" s="86"/>
      <c r="BW127" s="86"/>
      <c r="BX127" s="86"/>
      <c r="BY127" s="86"/>
      <c r="BZ127" s="86"/>
      <c r="CA127" s="86"/>
      <c r="CB127" s="86"/>
      <c r="CC127" s="86"/>
      <c r="CD127" s="86"/>
      <c r="CE127" s="86"/>
      <c r="CF127" s="86"/>
      <c r="CG127" s="76"/>
      <c r="CI127" s="135">
        <f>$H$35</f>
        <v>26</v>
      </c>
      <c r="CJ127" s="135" t="str">
        <f t="shared" si="0"/>
        <v>Iniciados</v>
      </c>
      <c r="CK127" s="135" t="str">
        <f t="shared" si="1"/>
        <v>Pares</v>
      </c>
      <c r="CL127" s="135" t="str">
        <f t="shared" si="2"/>
        <v>Femininos</v>
      </c>
      <c r="CM127" s="135" t="str">
        <f>"2º Jogo dos 1/4 final"</f>
        <v>2º Jogo dos 1/4 final</v>
      </c>
      <c r="CN127" s="135" t="str">
        <f>$C$34</f>
        <v>2º do grupo D</v>
      </c>
      <c r="CO127" s="135" t="str">
        <f>$C$36</f>
        <v>1º do grupo C</v>
      </c>
    </row>
    <row r="128" spans="52:93" ht="20.25" customHeight="1">
      <c r="AZ128" s="88"/>
      <c r="BA128" s="89" t="s">
        <v>25</v>
      </c>
      <c r="BB128" s="137">
        <f>IF($AI$27="","",$AI$27)</f>
        <v>4</v>
      </c>
      <c r="BC128" s="84"/>
      <c r="BD128" s="84"/>
      <c r="BE128" s="84"/>
      <c r="BF128" s="84"/>
      <c r="BG128" s="84"/>
      <c r="BH128" s="84"/>
      <c r="BI128" s="177" t="s">
        <v>51</v>
      </c>
      <c r="BJ128" s="84"/>
      <c r="BK128" s="84"/>
      <c r="BL128" s="294"/>
      <c r="BM128" s="295"/>
      <c r="BN128" s="90"/>
      <c r="BO128" s="90"/>
      <c r="BP128" s="90"/>
      <c r="BQ128" s="91"/>
      <c r="BR128" s="84"/>
      <c r="BS128" s="84"/>
      <c r="BT128" s="84"/>
      <c r="BU128" s="84"/>
      <c r="BV128" s="84"/>
      <c r="BW128" s="84"/>
      <c r="BX128" s="84"/>
      <c r="BY128" s="84"/>
      <c r="BZ128" s="84"/>
      <c r="CA128" s="84"/>
      <c r="CB128" s="84"/>
      <c r="CC128" s="84"/>
      <c r="CD128" s="84"/>
      <c r="CE128" s="84"/>
      <c r="CF128" s="84"/>
      <c r="CG128" s="92"/>
      <c r="CI128" s="135">
        <f>$H$39</f>
        <v>27</v>
      </c>
      <c r="CJ128" s="135" t="str">
        <f t="shared" si="0"/>
        <v>Iniciados</v>
      </c>
      <c r="CK128" s="135" t="str">
        <f t="shared" si="1"/>
        <v>Pares</v>
      </c>
      <c r="CL128" s="135" t="str">
        <f t="shared" si="2"/>
        <v>Femininos</v>
      </c>
      <c r="CM128" s="135" t="str">
        <f>"3º Jogo dos 1/4 final"</f>
        <v>3º Jogo dos 1/4 final</v>
      </c>
      <c r="CN128" s="135" t="str">
        <f>$C$38</f>
        <v>1º do grupo B</v>
      </c>
      <c r="CO128" s="135" t="str">
        <f>$C$40</f>
        <v>A4</v>
      </c>
    </row>
    <row r="129" spans="52:93" ht="7.5" customHeight="1">
      <c r="AZ129" s="88"/>
      <c r="BA129" s="84"/>
      <c r="BB129" s="84"/>
      <c r="BC129" s="84"/>
      <c r="BD129" s="84"/>
      <c r="BE129" s="84"/>
      <c r="BF129" s="84"/>
      <c r="BG129" s="84"/>
      <c r="BH129" s="84"/>
      <c r="BI129" s="84"/>
      <c r="BJ129" s="84"/>
      <c r="BK129" s="84"/>
      <c r="BL129" s="296"/>
      <c r="BM129" s="297"/>
      <c r="BN129" s="84"/>
      <c r="BO129" s="84"/>
      <c r="BP129" s="84"/>
      <c r="BQ129" s="84"/>
      <c r="BR129" s="84"/>
      <c r="BS129" s="84"/>
      <c r="BT129" s="84"/>
      <c r="BU129" s="84"/>
      <c r="BV129" s="84"/>
      <c r="BW129" s="84"/>
      <c r="BX129" s="84"/>
      <c r="BY129" s="84"/>
      <c r="BZ129" s="84"/>
      <c r="CA129" s="84"/>
      <c r="CB129" s="84"/>
      <c r="CC129" s="84"/>
      <c r="CD129" s="84"/>
      <c r="CE129" s="84"/>
      <c r="CF129" s="84"/>
      <c r="CG129" s="92"/>
      <c r="CI129" s="135">
        <f>$H$43</f>
        <v>28</v>
      </c>
      <c r="CJ129" s="135" t="str">
        <f t="shared" si="0"/>
        <v>Iniciados</v>
      </c>
      <c r="CK129" s="135" t="str">
        <f t="shared" si="1"/>
        <v>Pares</v>
      </c>
      <c r="CL129" s="135" t="str">
        <f t="shared" si="2"/>
        <v>Femininos</v>
      </c>
      <c r="CM129" s="135" t="str">
        <f>"4º Jogo dos 1/4 final"</f>
        <v>4º Jogo dos 1/4 final</v>
      </c>
      <c r="CN129" s="135" t="str">
        <f>$C$42</f>
        <v>2º do grupo C</v>
      </c>
      <c r="CO129" s="135" t="str">
        <f>$C$44</f>
        <v>1º do grupo D</v>
      </c>
    </row>
    <row r="130" spans="52:93" ht="17.25" customHeight="1" thickBot="1">
      <c r="AZ130" s="88"/>
      <c r="BA130" s="368" t="s">
        <v>34</v>
      </c>
      <c r="BB130" s="368"/>
      <c r="BC130" s="93" t="s">
        <v>20</v>
      </c>
      <c r="BD130" s="93"/>
      <c r="BE130" s="93"/>
      <c r="BF130" s="93" t="s">
        <v>21</v>
      </c>
      <c r="BG130" s="93"/>
      <c r="BH130" s="93"/>
      <c r="BI130" s="93" t="s">
        <v>22</v>
      </c>
      <c r="BJ130" s="93"/>
      <c r="BK130" s="93"/>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92"/>
      <c r="CI130" s="135">
        <f>$O$33</f>
        <v>29</v>
      </c>
      <c r="CJ130" s="135" t="str">
        <f t="shared" si="0"/>
        <v>Iniciados</v>
      </c>
      <c r="CK130" s="135" t="str">
        <f t="shared" si="1"/>
        <v>Pares</v>
      </c>
      <c r="CL130" s="135" t="str">
        <f t="shared" si="2"/>
        <v>Femininos</v>
      </c>
      <c r="CM130" s="135" t="str">
        <f>"1ª Meia Final"</f>
        <v>1ª Meia Final</v>
      </c>
      <c r="CN130" s="135" t="str">
        <f>$I$31</f>
        <v>1ª Meia Final-Jogador1</v>
      </c>
      <c r="CO130" s="135" t="str">
        <f>$I$35</f>
        <v>1ª Meia Final-Jogador2</v>
      </c>
    </row>
    <row r="131" spans="52:93" ht="19.5" customHeight="1">
      <c r="AZ131" s="88"/>
      <c r="BA131" s="350" t="str">
        <f>IF(BB128="","",VLOOKUP(BB128,$CI$102:$CO$145,6,FALSE))</f>
        <v>B2</v>
      </c>
      <c r="BB131" s="351"/>
      <c r="BC131" s="354"/>
      <c r="BD131" s="355"/>
      <c r="BE131" s="356"/>
      <c r="BF131" s="354"/>
      <c r="BG131" s="355"/>
      <c r="BH131" s="356"/>
      <c r="BI131" s="354"/>
      <c r="BJ131" s="355"/>
      <c r="BK131" s="356"/>
      <c r="BL131" s="72"/>
      <c r="BM131" s="72"/>
      <c r="BN131" s="360"/>
      <c r="BO131" s="360"/>
      <c r="BP131" s="360"/>
      <c r="BQ131" s="94"/>
      <c r="BR131" s="95"/>
      <c r="BS131" s="84"/>
      <c r="BT131" s="84"/>
      <c r="BU131" s="84"/>
      <c r="BV131" s="84"/>
      <c r="BW131" s="84"/>
      <c r="BX131" s="84"/>
      <c r="BY131" s="84"/>
      <c r="BZ131" s="84"/>
      <c r="CA131" s="84"/>
      <c r="CB131" s="84"/>
      <c r="CC131" s="84"/>
      <c r="CD131" s="84"/>
      <c r="CE131" s="84"/>
      <c r="CF131" s="84"/>
      <c r="CG131" s="92"/>
      <c r="CI131" s="135">
        <f>$O$41</f>
        <v>30</v>
      </c>
      <c r="CJ131" s="135" t="str">
        <f t="shared" si="0"/>
        <v>Iniciados</v>
      </c>
      <c r="CK131" s="135" t="str">
        <f t="shared" si="1"/>
        <v>Pares</v>
      </c>
      <c r="CL131" s="135" t="str">
        <f t="shared" si="2"/>
        <v>Femininos</v>
      </c>
      <c r="CM131" s="135" t="str">
        <f>"2ª Meia Final"</f>
        <v>2ª Meia Final</v>
      </c>
      <c r="CN131" s="135" t="str">
        <f>$I$39</f>
        <v>2ª Meia Final-Jogador1</v>
      </c>
      <c r="CO131" s="135" t="str">
        <f>$I$43</f>
        <v>2ª Meia Final-Jogador2</v>
      </c>
    </row>
    <row r="132" spans="52:93" ht="19.5" customHeight="1" thickBot="1">
      <c r="AZ132" s="88"/>
      <c r="BA132" s="352"/>
      <c r="BB132" s="353"/>
      <c r="BC132" s="357"/>
      <c r="BD132" s="358"/>
      <c r="BE132" s="359"/>
      <c r="BF132" s="357"/>
      <c r="BG132" s="358"/>
      <c r="BH132" s="359"/>
      <c r="BI132" s="357"/>
      <c r="BJ132" s="358"/>
      <c r="BK132" s="359"/>
      <c r="BL132" s="72"/>
      <c r="BM132" s="72"/>
      <c r="BN132" s="360"/>
      <c r="BO132" s="360"/>
      <c r="BP132" s="360"/>
      <c r="BQ132" s="94"/>
      <c r="BR132" s="95"/>
      <c r="BS132" s="84"/>
      <c r="BT132" s="84"/>
      <c r="BU132" s="84"/>
      <c r="BV132" s="84"/>
      <c r="BW132" s="84"/>
      <c r="BX132" s="84"/>
      <c r="BY132" s="84"/>
      <c r="BZ132" s="84"/>
      <c r="CA132" s="84"/>
      <c r="CB132" s="84"/>
      <c r="CC132" s="84"/>
      <c r="CD132" s="84"/>
      <c r="CE132" s="84"/>
      <c r="CF132" s="84"/>
      <c r="CG132" s="92"/>
      <c r="CI132" s="135">
        <f>$V$37</f>
        <v>31</v>
      </c>
      <c r="CJ132" s="135" t="str">
        <f t="shared" si="0"/>
        <v>Iniciados</v>
      </c>
      <c r="CK132" s="135" t="str">
        <f t="shared" si="1"/>
        <v>Pares</v>
      </c>
      <c r="CL132" s="135" t="str">
        <f t="shared" si="2"/>
        <v>Femininos</v>
      </c>
      <c r="CM132" s="135" t="str">
        <f>"Jogo 3º/4º lugar"</f>
        <v>Jogo 3º/4º lugar</v>
      </c>
      <c r="CN132" s="135" t="str">
        <f>$P$35</f>
        <v>Disputa 3º/4º  Jogador1</v>
      </c>
      <c r="CO132" s="135" t="str">
        <f>$P$39</f>
        <v>Disputa 3º/4º  Jogador2</v>
      </c>
    </row>
    <row r="133" spans="52:93" ht="19.5" customHeight="1">
      <c r="AZ133" s="88"/>
      <c r="BA133" s="350" t="str">
        <f>IF(BB128="","",VLOOKUP(BB128,$CI$102:$CO$145,7,FALSE))</f>
        <v>B3</v>
      </c>
      <c r="BB133" s="351"/>
      <c r="BC133" s="354"/>
      <c r="BD133" s="355"/>
      <c r="BE133" s="356"/>
      <c r="BF133" s="354"/>
      <c r="BG133" s="355"/>
      <c r="BH133" s="356"/>
      <c r="BI133" s="354"/>
      <c r="BJ133" s="355"/>
      <c r="BK133" s="356"/>
      <c r="BL133" s="72"/>
      <c r="BM133" s="72"/>
      <c r="BN133" s="360"/>
      <c r="BO133" s="360"/>
      <c r="BP133" s="360"/>
      <c r="BQ133" s="94"/>
      <c r="BR133" s="95"/>
      <c r="BS133" s="84"/>
      <c r="BT133" s="84"/>
      <c r="BU133" s="84"/>
      <c r="BV133" s="84"/>
      <c r="BW133" s="84"/>
      <c r="BX133" s="84"/>
      <c r="BY133" s="84"/>
      <c r="BZ133" s="84"/>
      <c r="CA133" s="84"/>
      <c r="CB133" s="84"/>
      <c r="CC133" s="84"/>
      <c r="CD133" s="84"/>
      <c r="CE133" s="84"/>
      <c r="CF133" s="84"/>
      <c r="CG133" s="92"/>
      <c r="CI133" s="136">
        <f>$W$37</f>
        <v>32</v>
      </c>
      <c r="CJ133" s="136" t="str">
        <f t="shared" si="0"/>
        <v>Iniciados</v>
      </c>
      <c r="CK133" s="136" t="str">
        <f t="shared" si="1"/>
        <v>Pares</v>
      </c>
      <c r="CL133" s="136" t="str">
        <f t="shared" si="2"/>
        <v>Femininos</v>
      </c>
      <c r="CM133" s="136" t="str">
        <f>"Final"</f>
        <v>Final</v>
      </c>
      <c r="CN133" s="136" t="str">
        <f>$P$33</f>
        <v>Final-Jogador1</v>
      </c>
      <c r="CO133" s="136" t="str">
        <f>$P$41</f>
        <v>Final-Jogador2</v>
      </c>
    </row>
    <row r="134" spans="52:93" ht="19.5" customHeight="1" thickBot="1">
      <c r="AZ134" s="88"/>
      <c r="BA134" s="352"/>
      <c r="BB134" s="353"/>
      <c r="BC134" s="357"/>
      <c r="BD134" s="358"/>
      <c r="BE134" s="359"/>
      <c r="BF134" s="357"/>
      <c r="BG134" s="358"/>
      <c r="BH134" s="359"/>
      <c r="BI134" s="357"/>
      <c r="BJ134" s="358"/>
      <c r="BK134" s="359"/>
      <c r="BL134" s="72"/>
      <c r="BM134" s="72"/>
      <c r="BN134" s="360"/>
      <c r="BO134" s="360"/>
      <c r="BP134" s="360"/>
      <c r="BQ134" s="96"/>
      <c r="BR134" s="95"/>
      <c r="BS134" s="84"/>
      <c r="BT134" s="84"/>
      <c r="BU134" s="84"/>
      <c r="BV134" s="84"/>
      <c r="BW134" s="84"/>
      <c r="BX134" s="84"/>
      <c r="BY134" s="84"/>
      <c r="BZ134" s="84"/>
      <c r="CA134" s="84"/>
      <c r="CB134" s="84"/>
      <c r="CC134" s="84"/>
      <c r="CD134" s="84"/>
      <c r="CE134" s="84"/>
      <c r="CF134" s="84"/>
      <c r="CG134" s="92"/>
      <c r="CI134" s="135">
        <f>$O$52</f>
        <v>33</v>
      </c>
      <c r="CJ134" s="135" t="str">
        <f t="shared" si="0"/>
        <v>Iniciados</v>
      </c>
      <c r="CK134" s="135" t="str">
        <f t="shared" si="1"/>
        <v>Pares</v>
      </c>
      <c r="CL134" s="135" t="str">
        <f t="shared" si="2"/>
        <v>Femininos</v>
      </c>
      <c r="CM134" s="135" t="str">
        <f>"Disp 5º-8º - Jogo1"</f>
        <v>Disp 5º-8º - Jogo1</v>
      </c>
      <c r="CN134" s="135" t="str">
        <f>$I$50</f>
        <v>Vencido do jogo 25</v>
      </c>
      <c r="CO134" s="135" t="str">
        <f>$I$54</f>
        <v>Vencido do jogo 26</v>
      </c>
    </row>
    <row r="135" spans="52:93" ht="22.5" customHeight="1" thickBot="1">
      <c r="AZ135" s="88"/>
      <c r="BA135" s="97" t="s">
        <v>23</v>
      </c>
      <c r="BB135" s="361"/>
      <c r="BC135" s="362"/>
      <c r="BD135" s="362"/>
      <c r="BE135" s="362"/>
      <c r="BF135" s="363"/>
      <c r="BG135" s="363"/>
      <c r="BH135" s="363"/>
      <c r="BI135" s="363"/>
      <c r="BJ135" s="363"/>
      <c r="BK135" s="363"/>
      <c r="BL135" s="364"/>
      <c r="BM135" s="365"/>
      <c r="BN135" s="365"/>
      <c r="BO135" s="365"/>
      <c r="BP135" s="365"/>
      <c r="BQ135" s="95"/>
      <c r="BR135" s="95"/>
      <c r="BS135" s="84"/>
      <c r="BT135" s="84"/>
      <c r="BU135" s="84"/>
      <c r="BV135" s="84"/>
      <c r="BW135" s="84"/>
      <c r="BX135" s="84"/>
      <c r="BY135" s="84"/>
      <c r="BZ135" s="84"/>
      <c r="CA135" s="84"/>
      <c r="CB135" s="84"/>
      <c r="CC135" s="84"/>
      <c r="CD135" s="84"/>
      <c r="CE135" s="84"/>
      <c r="CF135" s="84"/>
      <c r="CG135" s="92"/>
      <c r="CI135" s="135">
        <f>$O$60</f>
        <v>34</v>
      </c>
      <c r="CJ135" s="135" t="str">
        <f t="shared" si="0"/>
        <v>Iniciados</v>
      </c>
      <c r="CK135" s="135" t="str">
        <f t="shared" si="1"/>
        <v>Pares</v>
      </c>
      <c r="CL135" s="135" t="str">
        <f t="shared" si="2"/>
        <v>Femininos</v>
      </c>
      <c r="CM135" s="135" t="str">
        <f>"Disp 5º-8º - Jogo2"</f>
        <v>Disp 5º-8º - Jogo2</v>
      </c>
      <c r="CN135" s="135" t="str">
        <f>$I$58</f>
        <v>Vencido do jogo 27</v>
      </c>
      <c r="CO135" s="135" t="str">
        <f>$I$62</f>
        <v>Vencido do jogo 28</v>
      </c>
    </row>
    <row r="136" spans="52:93" ht="18.75" customHeight="1">
      <c r="AZ136" s="88"/>
      <c r="BA136" s="73" t="s">
        <v>34</v>
      </c>
      <c r="BB136" s="73"/>
      <c r="BC136" s="73"/>
      <c r="BD136" s="73"/>
      <c r="BE136" s="73"/>
      <c r="BF136" s="73"/>
      <c r="BG136" s="73"/>
      <c r="BH136" s="93"/>
      <c r="BI136" s="93"/>
      <c r="BJ136" s="93"/>
      <c r="BK136" s="93"/>
      <c r="BL136" s="93"/>
      <c r="BM136" s="93"/>
      <c r="BN136" s="93"/>
      <c r="BO136" s="93"/>
      <c r="BP136" s="93"/>
      <c r="BQ136" s="93"/>
      <c r="BR136" s="84"/>
      <c r="BS136" s="84"/>
      <c r="BT136" s="84"/>
      <c r="BU136" s="84"/>
      <c r="BV136" s="84"/>
      <c r="BW136" s="84"/>
      <c r="BX136" s="84"/>
      <c r="BY136" s="84"/>
      <c r="BZ136" s="84"/>
      <c r="CA136" s="84"/>
      <c r="CB136" s="84"/>
      <c r="CC136" s="84"/>
      <c r="CD136" s="84"/>
      <c r="CE136" s="84"/>
      <c r="CF136" s="84"/>
      <c r="CG136" s="92"/>
      <c r="CI136" s="135">
        <f>$V$56</f>
        <v>35</v>
      </c>
      <c r="CJ136" s="135" t="str">
        <f t="shared" si="0"/>
        <v>Iniciados</v>
      </c>
      <c r="CK136" s="135" t="str">
        <f t="shared" si="1"/>
        <v>Pares</v>
      </c>
      <c r="CL136" s="135" t="str">
        <f t="shared" si="2"/>
        <v>Femininos</v>
      </c>
      <c r="CM136" s="135" t="str">
        <f>"Jogo 7º/8º lugar"</f>
        <v>Jogo 7º/8º lugar</v>
      </c>
      <c r="CN136" s="135" t="str">
        <f>$P$54</f>
        <v>Disputa 7º/8º  Jogador1</v>
      </c>
      <c r="CO136" s="135" t="str">
        <f>$P$58</f>
        <v>Disputa 7º/8º  Jogador2</v>
      </c>
    </row>
    <row r="137" spans="52:93" ht="15" customHeight="1">
      <c r="AZ137" s="88"/>
      <c r="BA137" s="346" t="str">
        <f>IF($BA$131="","",$BA$131)</f>
        <v>B2</v>
      </c>
      <c r="BB137" s="347"/>
      <c r="BC137" s="74"/>
      <c r="BD137" s="75"/>
      <c r="BE137" s="75"/>
      <c r="BF137" s="75"/>
      <c r="BG137" s="75"/>
      <c r="BH137" s="75"/>
      <c r="BI137" s="75"/>
      <c r="BJ137" s="75"/>
      <c r="BK137" s="75"/>
      <c r="BL137" s="76"/>
      <c r="BM137" s="178"/>
      <c r="BN137" s="180"/>
      <c r="BO137" s="77"/>
      <c r="BP137" s="77"/>
      <c r="BQ137" s="77"/>
      <c r="BR137" s="78"/>
      <c r="BS137" s="75"/>
      <c r="BT137" s="75"/>
      <c r="BU137" s="75"/>
      <c r="BV137" s="75"/>
      <c r="BW137" s="178"/>
      <c r="BX137" s="76"/>
      <c r="BY137" s="75"/>
      <c r="BZ137" s="75"/>
      <c r="CA137" s="75"/>
      <c r="CB137" s="75"/>
      <c r="CC137" s="75"/>
      <c r="CD137" s="75"/>
      <c r="CE137" s="75"/>
      <c r="CF137" s="75"/>
      <c r="CG137" s="92"/>
      <c r="CI137" s="136">
        <f>$W$56</f>
        <v>36</v>
      </c>
      <c r="CJ137" s="136" t="str">
        <f t="shared" si="0"/>
        <v>Iniciados</v>
      </c>
      <c r="CK137" s="136" t="str">
        <f t="shared" si="1"/>
        <v>Pares</v>
      </c>
      <c r="CL137" s="136" t="str">
        <f t="shared" si="2"/>
        <v>Femininos</v>
      </c>
      <c r="CM137" s="136" t="str">
        <f>"Jogo 5º/6º lugar"</f>
        <v>Jogo 5º/6º lugar</v>
      </c>
      <c r="CN137" s="136" t="str">
        <f>$P$52</f>
        <v>Disputa 5º/6º Jogador1</v>
      </c>
      <c r="CO137" s="136" t="str">
        <f>$P$60</f>
        <v>Disputa 5º/6º Jogador2</v>
      </c>
    </row>
    <row r="138" spans="52:93" ht="15" customHeight="1">
      <c r="AZ138" s="88"/>
      <c r="BA138" s="348"/>
      <c r="BB138" s="349"/>
      <c r="BC138" s="79"/>
      <c r="BD138" s="80"/>
      <c r="BE138" s="80"/>
      <c r="BF138" s="80"/>
      <c r="BG138" s="80"/>
      <c r="BH138" s="80"/>
      <c r="BI138" s="80"/>
      <c r="BJ138" s="80"/>
      <c r="BK138" s="80"/>
      <c r="BL138" s="81"/>
      <c r="BM138" s="179"/>
      <c r="BN138" s="181"/>
      <c r="BO138" s="82"/>
      <c r="BP138" s="82"/>
      <c r="BQ138" s="82"/>
      <c r="BR138" s="83"/>
      <c r="BS138" s="80"/>
      <c r="BT138" s="80"/>
      <c r="BU138" s="80"/>
      <c r="BV138" s="80"/>
      <c r="BW138" s="179"/>
      <c r="BX138" s="81"/>
      <c r="BY138" s="80"/>
      <c r="BZ138" s="80"/>
      <c r="CA138" s="80"/>
      <c r="CB138" s="80"/>
      <c r="CC138" s="80"/>
      <c r="CD138" s="80"/>
      <c r="CE138" s="80"/>
      <c r="CF138" s="80"/>
      <c r="CG138" s="98" t="s">
        <v>1</v>
      </c>
      <c r="CI138" s="136">
        <f>$O$70</f>
        <v>37</v>
      </c>
      <c r="CJ138" s="136" t="str">
        <f t="shared" si="0"/>
        <v>Iniciados</v>
      </c>
      <c r="CK138" s="136" t="str">
        <f t="shared" si="1"/>
        <v>Pares</v>
      </c>
      <c r="CL138" s="136" t="str">
        <f t="shared" si="2"/>
        <v>Femininos</v>
      </c>
      <c r="CM138" s="136" t="str">
        <f>"Disp 9º-12º - Jogo1"</f>
        <v>Disp 9º-12º - Jogo1</v>
      </c>
      <c r="CN138" s="136" t="str">
        <f>$I$68</f>
        <v>3º  do Grupo A</v>
      </c>
      <c r="CO138" s="136" t="str">
        <f>$I$72</f>
        <v>3º  do Grupo B</v>
      </c>
    </row>
    <row r="139" spans="52:93" ht="15" customHeight="1">
      <c r="AZ139" s="88"/>
      <c r="BA139" s="346" t="str">
        <f>IF($BA$133="","",$BA$133)</f>
        <v>B3</v>
      </c>
      <c r="BB139" s="347"/>
      <c r="BC139" s="74"/>
      <c r="BD139" s="75"/>
      <c r="BE139" s="75"/>
      <c r="BF139" s="75"/>
      <c r="BG139" s="75"/>
      <c r="BH139" s="75"/>
      <c r="BI139" s="75"/>
      <c r="BJ139" s="75"/>
      <c r="BK139" s="75"/>
      <c r="BL139" s="76"/>
      <c r="BM139" s="178"/>
      <c r="BN139" s="180"/>
      <c r="BO139" s="77"/>
      <c r="BP139" s="77"/>
      <c r="BQ139" s="77"/>
      <c r="BR139" s="78"/>
      <c r="BS139" s="75"/>
      <c r="BT139" s="75"/>
      <c r="BU139" s="75"/>
      <c r="BV139" s="75"/>
      <c r="BW139" s="178"/>
      <c r="BX139" s="76"/>
      <c r="BY139" s="75"/>
      <c r="BZ139" s="75"/>
      <c r="CA139" s="75"/>
      <c r="CB139" s="75"/>
      <c r="CC139" s="75"/>
      <c r="CD139" s="75"/>
      <c r="CE139" s="75"/>
      <c r="CF139" s="75"/>
      <c r="CG139" s="99"/>
      <c r="CI139" s="136">
        <f>$O$78</f>
        <v>38</v>
      </c>
      <c r="CJ139" s="136" t="str">
        <f t="shared" si="0"/>
        <v>Iniciados</v>
      </c>
      <c r="CK139" s="136" t="str">
        <f t="shared" si="1"/>
        <v>Pares</v>
      </c>
      <c r="CL139" s="136" t="str">
        <f t="shared" si="2"/>
        <v>Femininos</v>
      </c>
      <c r="CM139" s="136" t="str">
        <f>"Disp 9º-12º - Jogo2"</f>
        <v>Disp 9º-12º - Jogo2</v>
      </c>
      <c r="CN139" s="136" t="str">
        <f>$I$76</f>
        <v>3º  do Grupo C</v>
      </c>
      <c r="CO139" s="136" t="str">
        <f>$I$80</f>
        <v>3º  do Grupo D</v>
      </c>
    </row>
    <row r="140" spans="52:93" ht="15" customHeight="1">
      <c r="AZ140" s="88"/>
      <c r="BA140" s="348"/>
      <c r="BB140" s="349"/>
      <c r="BC140" s="79"/>
      <c r="BD140" s="80"/>
      <c r="BE140" s="80"/>
      <c r="BF140" s="80"/>
      <c r="BG140" s="80"/>
      <c r="BH140" s="80"/>
      <c r="BI140" s="80"/>
      <c r="BJ140" s="80"/>
      <c r="BK140" s="80"/>
      <c r="BL140" s="81"/>
      <c r="BM140" s="179"/>
      <c r="BN140" s="181"/>
      <c r="BO140" s="82"/>
      <c r="BP140" s="82"/>
      <c r="BQ140" s="82"/>
      <c r="BR140" s="83"/>
      <c r="BS140" s="80"/>
      <c r="BT140" s="80"/>
      <c r="BU140" s="80"/>
      <c r="BV140" s="80"/>
      <c r="BW140" s="179"/>
      <c r="BX140" s="81"/>
      <c r="BY140" s="80"/>
      <c r="BZ140" s="80"/>
      <c r="CA140" s="80"/>
      <c r="CB140" s="80"/>
      <c r="CC140" s="80"/>
      <c r="CD140" s="80"/>
      <c r="CE140" s="80"/>
      <c r="CF140" s="80"/>
      <c r="CG140" s="92"/>
      <c r="CI140" s="136">
        <f>$V$74</f>
        <v>39</v>
      </c>
      <c r="CJ140" s="136" t="str">
        <f t="shared" si="0"/>
        <v>Iniciados</v>
      </c>
      <c r="CK140" s="136" t="str">
        <f t="shared" si="1"/>
        <v>Pares</v>
      </c>
      <c r="CL140" s="136" t="str">
        <f t="shared" si="2"/>
        <v>Femininos</v>
      </c>
      <c r="CM140" s="136" t="str">
        <f>"Jogo 11º/12º lugar"</f>
        <v>Jogo 11º/12º lugar</v>
      </c>
      <c r="CN140" s="136" t="str">
        <f>$P$72</f>
        <v>Disputa 11º/12º  Jogador1</v>
      </c>
      <c r="CO140" s="136" t="str">
        <f>$P$76</f>
        <v>Disputa 11º/12º  Jogador2</v>
      </c>
    </row>
    <row r="141" spans="52:93" ht="12.75" customHeight="1">
      <c r="AZ141" s="88"/>
      <c r="BA141" s="84"/>
      <c r="BB141" s="84"/>
      <c r="BC141" s="100">
        <v>1</v>
      </c>
      <c r="BD141" s="100">
        <v>2</v>
      </c>
      <c r="BE141" s="100">
        <v>3</v>
      </c>
      <c r="BF141" s="100">
        <v>4</v>
      </c>
      <c r="BG141" s="100">
        <v>5</v>
      </c>
      <c r="BH141" s="100">
        <v>6</v>
      </c>
      <c r="BI141" s="100">
        <v>7</v>
      </c>
      <c r="BJ141" s="100">
        <v>8</v>
      </c>
      <c r="BK141" s="100">
        <v>9</v>
      </c>
      <c r="BL141" s="100">
        <v>10</v>
      </c>
      <c r="BM141" s="100">
        <v>11</v>
      </c>
      <c r="BN141" s="100">
        <v>12</v>
      </c>
      <c r="BO141" s="100">
        <v>13</v>
      </c>
      <c r="BP141" s="100">
        <v>14</v>
      </c>
      <c r="BQ141" s="100">
        <v>15</v>
      </c>
      <c r="BR141" s="100">
        <v>16</v>
      </c>
      <c r="BS141" s="100">
        <v>17</v>
      </c>
      <c r="BT141" s="100">
        <v>18</v>
      </c>
      <c r="BU141" s="100">
        <v>19</v>
      </c>
      <c r="BV141" s="100">
        <v>20</v>
      </c>
      <c r="BW141" s="100">
        <v>21</v>
      </c>
      <c r="BX141" s="100">
        <v>22</v>
      </c>
      <c r="BY141" s="100">
        <v>23</v>
      </c>
      <c r="BZ141" s="100">
        <v>24</v>
      </c>
      <c r="CA141" s="100">
        <v>25</v>
      </c>
      <c r="CB141" s="100">
        <v>26</v>
      </c>
      <c r="CC141" s="100">
        <v>27</v>
      </c>
      <c r="CD141" s="100">
        <v>28</v>
      </c>
      <c r="CE141" s="100">
        <v>29</v>
      </c>
      <c r="CF141" s="100">
        <v>30</v>
      </c>
      <c r="CG141" s="101"/>
      <c r="CI141" s="136">
        <f>$W$74</f>
        <v>40</v>
      </c>
      <c r="CJ141" s="136" t="str">
        <f t="shared" si="0"/>
        <v>Iniciados</v>
      </c>
      <c r="CK141" s="136" t="str">
        <f t="shared" si="1"/>
        <v>Pares</v>
      </c>
      <c r="CL141" s="136" t="str">
        <f t="shared" si="2"/>
        <v>Femininos</v>
      </c>
      <c r="CM141" s="136" t="str">
        <f>"Jogo 9º/10º lugar"</f>
        <v>Jogo 9º/10º lugar</v>
      </c>
      <c r="CN141" s="136" t="str">
        <f>$P$70</f>
        <v>Disputa 9º/10º Jogador1</v>
      </c>
      <c r="CO141" s="136" t="str">
        <f>$P$78</f>
        <v>Disputa 9º/10º Jogador2</v>
      </c>
    </row>
    <row r="142" spans="52:93" ht="15" customHeight="1">
      <c r="AZ142" s="88"/>
      <c r="BA142" s="346" t="str">
        <f>IF($BA$131="","",$BA$131)</f>
        <v>B2</v>
      </c>
      <c r="BB142" s="347"/>
      <c r="BC142" s="74"/>
      <c r="BD142" s="75"/>
      <c r="BE142" s="75"/>
      <c r="BF142" s="75"/>
      <c r="BG142" s="75"/>
      <c r="BH142" s="75"/>
      <c r="BI142" s="75"/>
      <c r="BJ142" s="75"/>
      <c r="BK142" s="75"/>
      <c r="BL142" s="76"/>
      <c r="BM142" s="178"/>
      <c r="BN142" s="180"/>
      <c r="BO142" s="77"/>
      <c r="BP142" s="77"/>
      <c r="BQ142" s="77"/>
      <c r="BR142" s="78"/>
      <c r="BS142" s="75"/>
      <c r="BT142" s="75"/>
      <c r="BU142" s="75"/>
      <c r="BV142" s="75"/>
      <c r="BW142" s="178"/>
      <c r="BX142" s="76"/>
      <c r="BY142" s="75"/>
      <c r="BZ142" s="75"/>
      <c r="CA142" s="75"/>
      <c r="CB142" s="75"/>
      <c r="CC142" s="75"/>
      <c r="CD142" s="75"/>
      <c r="CE142" s="75"/>
      <c r="CF142" s="75"/>
      <c r="CG142" s="92"/>
      <c r="CI142" s="136">
        <f>$O$88</f>
        <v>41</v>
      </c>
      <c r="CJ142" s="136" t="str">
        <f t="shared" si="0"/>
        <v>Iniciados</v>
      </c>
      <c r="CK142" s="136" t="str">
        <f t="shared" si="1"/>
        <v>Pares</v>
      </c>
      <c r="CL142" s="136" t="str">
        <f t="shared" si="2"/>
        <v>Femininos</v>
      </c>
      <c r="CM142" s="136" t="str">
        <f>"Disp 13º-16º - Jogo1"</f>
        <v>Disp 13º-16º - Jogo1</v>
      </c>
      <c r="CN142" s="136" t="str">
        <f>$I$86</f>
        <v>4º  do Grupo A</v>
      </c>
      <c r="CO142" s="136" t="str">
        <f>$I$90</f>
        <v>4º  do Grupo B</v>
      </c>
    </row>
    <row r="143" spans="52:93" ht="15" customHeight="1">
      <c r="AZ143" s="88"/>
      <c r="BA143" s="348"/>
      <c r="BB143" s="349"/>
      <c r="BC143" s="79"/>
      <c r="BD143" s="80"/>
      <c r="BE143" s="80"/>
      <c r="BF143" s="80"/>
      <c r="BG143" s="80"/>
      <c r="BH143" s="80"/>
      <c r="BI143" s="80"/>
      <c r="BJ143" s="80"/>
      <c r="BK143" s="80"/>
      <c r="BL143" s="81"/>
      <c r="BM143" s="179"/>
      <c r="BN143" s="181"/>
      <c r="BO143" s="82"/>
      <c r="BP143" s="82"/>
      <c r="BQ143" s="82"/>
      <c r="BR143" s="83"/>
      <c r="BS143" s="80"/>
      <c r="BT143" s="80"/>
      <c r="BU143" s="80"/>
      <c r="BV143" s="80"/>
      <c r="BW143" s="179"/>
      <c r="BX143" s="81"/>
      <c r="BY143" s="80"/>
      <c r="BZ143" s="80"/>
      <c r="CA143" s="80"/>
      <c r="CB143" s="80"/>
      <c r="CC143" s="80"/>
      <c r="CD143" s="80"/>
      <c r="CE143" s="80"/>
      <c r="CF143" s="80"/>
      <c r="CG143" s="92"/>
      <c r="CI143" s="136">
        <f>$O$96</f>
        <v>42</v>
      </c>
      <c r="CJ143" s="136" t="str">
        <f t="shared" si="0"/>
        <v>Iniciados</v>
      </c>
      <c r="CK143" s="136" t="str">
        <f t="shared" si="1"/>
        <v>Pares</v>
      </c>
      <c r="CL143" s="136" t="str">
        <f t="shared" si="2"/>
        <v>Femininos</v>
      </c>
      <c r="CM143" s="136" t="str">
        <f>"Disp 13º-16º - Jogo2"</f>
        <v>Disp 13º-16º - Jogo2</v>
      </c>
      <c r="CN143" s="136" t="str">
        <f>$I$94</f>
        <v>4º  do Grupo C</v>
      </c>
      <c r="CO143" s="136" t="str">
        <f>$I$98</f>
        <v>4º  do Grupo D</v>
      </c>
    </row>
    <row r="144" spans="52:93" ht="15" customHeight="1">
      <c r="AZ144" s="88"/>
      <c r="BA144" s="346" t="str">
        <f>IF($BA$133="","",$BA$133)</f>
        <v>B3</v>
      </c>
      <c r="BB144" s="347"/>
      <c r="BC144" s="74"/>
      <c r="BD144" s="75"/>
      <c r="BE144" s="75"/>
      <c r="BF144" s="75"/>
      <c r="BG144" s="75"/>
      <c r="BH144" s="75"/>
      <c r="BI144" s="75"/>
      <c r="BJ144" s="75"/>
      <c r="BK144" s="75"/>
      <c r="BL144" s="76"/>
      <c r="BM144" s="178"/>
      <c r="BN144" s="180"/>
      <c r="BO144" s="77"/>
      <c r="BP144" s="77"/>
      <c r="BQ144" s="77"/>
      <c r="BR144" s="78"/>
      <c r="BS144" s="75"/>
      <c r="BT144" s="75"/>
      <c r="BU144" s="75"/>
      <c r="BV144" s="75"/>
      <c r="BW144" s="178"/>
      <c r="BX144" s="76"/>
      <c r="BY144" s="75"/>
      <c r="BZ144" s="75"/>
      <c r="CA144" s="75"/>
      <c r="CB144" s="75"/>
      <c r="CC144" s="75"/>
      <c r="CD144" s="75"/>
      <c r="CE144" s="75"/>
      <c r="CF144" s="75"/>
      <c r="CG144" s="98" t="s">
        <v>2</v>
      </c>
      <c r="CI144" s="136">
        <f>$V$92</f>
        <v>43</v>
      </c>
      <c r="CJ144" s="136" t="str">
        <f t="shared" si="0"/>
        <v>Iniciados</v>
      </c>
      <c r="CK144" s="136" t="str">
        <f t="shared" si="1"/>
        <v>Pares</v>
      </c>
      <c r="CL144" s="136" t="str">
        <f t="shared" si="2"/>
        <v>Femininos</v>
      </c>
      <c r="CM144" s="136" t="str">
        <f>"Jogo 15º/16º lugar"</f>
        <v>Jogo 15º/16º lugar</v>
      </c>
      <c r="CN144" s="136" t="str">
        <f>$P$90</f>
        <v>Disputa 15º/16º  Jogador1</v>
      </c>
      <c r="CO144" s="136" t="str">
        <f>$P$94</f>
        <v>Disputa 15º/16º  Jogador2</v>
      </c>
    </row>
    <row r="145" spans="52:93" ht="15" customHeight="1">
      <c r="AZ145" s="88"/>
      <c r="BA145" s="348"/>
      <c r="BB145" s="349"/>
      <c r="BC145" s="79"/>
      <c r="BD145" s="80"/>
      <c r="BE145" s="80"/>
      <c r="BF145" s="80"/>
      <c r="BG145" s="80"/>
      <c r="BH145" s="80"/>
      <c r="BI145" s="80"/>
      <c r="BJ145" s="80"/>
      <c r="BK145" s="80"/>
      <c r="BL145" s="81"/>
      <c r="BM145" s="179"/>
      <c r="BN145" s="181"/>
      <c r="BO145" s="82"/>
      <c r="BP145" s="82"/>
      <c r="BQ145" s="82"/>
      <c r="BR145" s="83"/>
      <c r="BS145" s="80"/>
      <c r="BT145" s="80"/>
      <c r="BU145" s="80"/>
      <c r="BV145" s="80"/>
      <c r="BW145" s="179"/>
      <c r="BX145" s="81"/>
      <c r="BY145" s="80"/>
      <c r="BZ145" s="80"/>
      <c r="CA145" s="80"/>
      <c r="CB145" s="80"/>
      <c r="CC145" s="80"/>
      <c r="CD145" s="80"/>
      <c r="CE145" s="80"/>
      <c r="CF145" s="80"/>
      <c r="CG145" s="92"/>
      <c r="CI145" s="136">
        <f>$W$92</f>
        <v>44</v>
      </c>
      <c r="CJ145" s="136" t="str">
        <f t="shared" si="0"/>
        <v>Iniciados</v>
      </c>
      <c r="CK145" s="136" t="str">
        <f t="shared" si="1"/>
        <v>Pares</v>
      </c>
      <c r="CL145" s="136" t="str">
        <f t="shared" si="2"/>
        <v>Femininos</v>
      </c>
      <c r="CM145" s="136" t="str">
        <f>"Jogo 13º/14º lugar"</f>
        <v>Jogo 13º/14º lugar</v>
      </c>
      <c r="CN145" s="136" t="str">
        <f>$P$88</f>
        <v>Disputa 13º/14º Jogador1</v>
      </c>
      <c r="CO145" s="136" t="str">
        <f>$P$96</f>
        <v>Disputa 13º/14º Jogador2</v>
      </c>
    </row>
    <row r="146" spans="52:93" ht="12.75" customHeight="1">
      <c r="AZ146" s="88"/>
      <c r="BA146" s="84"/>
      <c r="BB146" s="84"/>
      <c r="BC146" s="100">
        <v>1</v>
      </c>
      <c r="BD146" s="100">
        <v>2</v>
      </c>
      <c r="BE146" s="100">
        <v>3</v>
      </c>
      <c r="BF146" s="100">
        <v>4</v>
      </c>
      <c r="BG146" s="100">
        <v>5</v>
      </c>
      <c r="BH146" s="100">
        <v>6</v>
      </c>
      <c r="BI146" s="100">
        <v>7</v>
      </c>
      <c r="BJ146" s="100">
        <v>8</v>
      </c>
      <c r="BK146" s="100">
        <v>9</v>
      </c>
      <c r="BL146" s="100">
        <v>10</v>
      </c>
      <c r="BM146" s="100">
        <v>11</v>
      </c>
      <c r="BN146" s="100">
        <v>12</v>
      </c>
      <c r="BO146" s="100">
        <v>13</v>
      </c>
      <c r="BP146" s="100">
        <v>14</v>
      </c>
      <c r="BQ146" s="100">
        <v>15</v>
      </c>
      <c r="BR146" s="100">
        <v>16</v>
      </c>
      <c r="BS146" s="100">
        <v>17</v>
      </c>
      <c r="BT146" s="100">
        <v>18</v>
      </c>
      <c r="BU146" s="100">
        <v>19</v>
      </c>
      <c r="BV146" s="100">
        <v>20</v>
      </c>
      <c r="BW146" s="100">
        <v>21</v>
      </c>
      <c r="BX146" s="100">
        <v>22</v>
      </c>
      <c r="BY146" s="100">
        <v>23</v>
      </c>
      <c r="BZ146" s="100">
        <v>24</v>
      </c>
      <c r="CA146" s="100">
        <v>25</v>
      </c>
      <c r="CB146" s="100">
        <v>26</v>
      </c>
      <c r="CC146" s="100">
        <v>27</v>
      </c>
      <c r="CD146" s="100">
        <v>28</v>
      </c>
      <c r="CE146" s="100">
        <v>29</v>
      </c>
      <c r="CF146" s="100">
        <v>30</v>
      </c>
      <c r="CG146" s="101"/>
    </row>
    <row r="147" spans="52:93" ht="15" customHeight="1">
      <c r="AZ147" s="88"/>
      <c r="BA147" s="346" t="str">
        <f>IF($BA$131="","",$BA$131)</f>
        <v>B2</v>
      </c>
      <c r="BB147" s="347"/>
      <c r="BC147" s="74"/>
      <c r="BD147" s="75"/>
      <c r="BE147" s="75"/>
      <c r="BF147" s="75"/>
      <c r="BG147" s="75"/>
      <c r="BH147" s="75"/>
      <c r="BI147" s="75"/>
      <c r="BJ147" s="75"/>
      <c r="BK147" s="75"/>
      <c r="BL147" s="76"/>
      <c r="BM147" s="178"/>
      <c r="BN147" s="180"/>
      <c r="BO147" s="77"/>
      <c r="BP147" s="77"/>
      <c r="BQ147" s="77"/>
      <c r="BR147" s="78"/>
      <c r="BS147" s="75"/>
      <c r="BT147" s="75"/>
      <c r="BU147" s="75"/>
      <c r="BV147" s="75"/>
      <c r="BW147" s="178"/>
      <c r="BX147" s="76"/>
      <c r="BY147" s="75"/>
      <c r="BZ147" s="75"/>
      <c r="CA147" s="75"/>
      <c r="CB147" s="75"/>
      <c r="CC147" s="75"/>
      <c r="CD147" s="75"/>
      <c r="CE147" s="75"/>
      <c r="CF147" s="75"/>
      <c r="CG147" s="92"/>
    </row>
    <row r="148" spans="52:93" ht="15" customHeight="1">
      <c r="AZ148" s="88"/>
      <c r="BA148" s="348"/>
      <c r="BB148" s="349"/>
      <c r="BC148" s="79"/>
      <c r="BD148" s="80"/>
      <c r="BE148" s="80"/>
      <c r="BF148" s="80"/>
      <c r="BG148" s="80"/>
      <c r="BH148" s="80"/>
      <c r="BI148" s="80"/>
      <c r="BJ148" s="80"/>
      <c r="BK148" s="80"/>
      <c r="BL148" s="81"/>
      <c r="BM148" s="179"/>
      <c r="BN148" s="181"/>
      <c r="BO148" s="82"/>
      <c r="BP148" s="82"/>
      <c r="BQ148" s="82"/>
      <c r="BR148" s="83"/>
      <c r="BS148" s="80"/>
      <c r="BT148" s="80"/>
      <c r="BU148" s="80"/>
      <c r="BV148" s="80"/>
      <c r="BW148" s="179"/>
      <c r="BX148" s="81"/>
      <c r="BY148" s="80"/>
      <c r="BZ148" s="80"/>
      <c r="CA148" s="80"/>
      <c r="CB148" s="80"/>
      <c r="CC148" s="80"/>
      <c r="CD148" s="80"/>
      <c r="CE148" s="80"/>
      <c r="CF148" s="80"/>
      <c r="CG148" s="92"/>
    </row>
    <row r="149" spans="52:93" ht="15" customHeight="1">
      <c r="AZ149" s="88"/>
      <c r="BA149" s="346" t="str">
        <f>IF($BA$133="","",$BA$133)</f>
        <v>B3</v>
      </c>
      <c r="BB149" s="347"/>
      <c r="BC149" s="74"/>
      <c r="BD149" s="75"/>
      <c r="BE149" s="75"/>
      <c r="BF149" s="75"/>
      <c r="BG149" s="75"/>
      <c r="BH149" s="75"/>
      <c r="BI149" s="75"/>
      <c r="BJ149" s="75"/>
      <c r="BK149" s="75"/>
      <c r="BL149" s="76"/>
      <c r="BM149" s="178"/>
      <c r="BN149" s="180"/>
      <c r="BO149" s="77"/>
      <c r="BP149" s="77"/>
      <c r="BQ149" s="77"/>
      <c r="BR149" s="78"/>
      <c r="BS149" s="75"/>
      <c r="BT149" s="75"/>
      <c r="BU149" s="75"/>
      <c r="BV149" s="75"/>
      <c r="BW149" s="178"/>
      <c r="BX149" s="76"/>
      <c r="BY149" s="75"/>
      <c r="BZ149" s="75"/>
      <c r="CA149" s="75"/>
      <c r="CB149" s="75"/>
      <c r="CC149" s="75"/>
      <c r="CD149" s="75"/>
      <c r="CE149" s="75"/>
      <c r="CF149" s="75"/>
      <c r="CG149" s="98" t="s">
        <v>3</v>
      </c>
    </row>
    <row r="150" spans="52:93" ht="15" customHeight="1">
      <c r="AZ150" s="88"/>
      <c r="BA150" s="348"/>
      <c r="BB150" s="349"/>
      <c r="BC150" s="79"/>
      <c r="BD150" s="80"/>
      <c r="BE150" s="80"/>
      <c r="BF150" s="80"/>
      <c r="BG150" s="80"/>
      <c r="BH150" s="80"/>
      <c r="BI150" s="80"/>
      <c r="BJ150" s="80"/>
      <c r="BK150" s="80"/>
      <c r="BL150" s="81"/>
      <c r="BM150" s="179"/>
      <c r="BN150" s="181"/>
      <c r="BO150" s="82"/>
      <c r="BP150" s="82"/>
      <c r="BQ150" s="82"/>
      <c r="BR150" s="83"/>
      <c r="BS150" s="80"/>
      <c r="BT150" s="80"/>
      <c r="BU150" s="80"/>
      <c r="BV150" s="80"/>
      <c r="BW150" s="179"/>
      <c r="BX150" s="81"/>
      <c r="BY150" s="80"/>
      <c r="BZ150" s="80"/>
      <c r="CA150" s="80"/>
      <c r="CB150" s="80"/>
      <c r="CC150" s="80"/>
      <c r="CD150" s="80"/>
      <c r="CE150" s="80"/>
      <c r="CF150" s="80"/>
      <c r="CG150" s="92"/>
    </row>
    <row r="151" spans="52:93" ht="44.25" customHeight="1">
      <c r="AZ151" s="102"/>
      <c r="BA151" s="103" t="s">
        <v>35</v>
      </c>
      <c r="BB151" s="104"/>
      <c r="BC151" s="105"/>
      <c r="BD151" s="105"/>
      <c r="BE151" s="105"/>
      <c r="BF151" s="105"/>
      <c r="BG151" s="105"/>
      <c r="BH151" s="105"/>
      <c r="BI151" s="105"/>
      <c r="BJ151" s="105"/>
      <c r="BK151" s="105"/>
      <c r="BL151" s="105"/>
      <c r="BM151" s="105"/>
      <c r="BN151" s="105"/>
      <c r="BO151" s="105"/>
      <c r="BP151" s="105"/>
      <c r="BQ151" s="105"/>
      <c r="BR151" s="85"/>
      <c r="BS151" s="85"/>
      <c r="BT151" s="85"/>
      <c r="BU151" s="85"/>
      <c r="BV151" s="85"/>
      <c r="BW151" s="85"/>
      <c r="BX151" s="85"/>
      <c r="BY151" s="85"/>
      <c r="BZ151" s="85"/>
      <c r="CA151" s="85"/>
      <c r="CB151" s="85"/>
      <c r="CC151" s="85"/>
      <c r="CD151" s="85"/>
      <c r="CE151" s="85"/>
      <c r="CF151" s="85"/>
      <c r="CG151" s="81"/>
    </row>
    <row r="152" spans="52:93" ht="26.25" customHeight="1">
      <c r="AZ152" s="345"/>
      <c r="BA152" s="345"/>
      <c r="BB152" s="345"/>
      <c r="BC152" s="345"/>
      <c r="BD152" s="345"/>
      <c r="BE152" s="345"/>
      <c r="BF152" s="345"/>
      <c r="BG152" s="345"/>
      <c r="BH152" s="345"/>
      <c r="BI152" s="345"/>
      <c r="BJ152" s="345"/>
      <c r="BK152" s="345"/>
      <c r="BL152" s="345"/>
      <c r="BM152" s="345"/>
      <c r="BN152" s="345"/>
      <c r="BO152" s="345"/>
      <c r="BP152" s="345"/>
      <c r="BQ152" s="345"/>
      <c r="BR152" s="345"/>
      <c r="BS152" s="345"/>
      <c r="BT152" s="345"/>
      <c r="BU152" s="345"/>
      <c r="BV152" s="345"/>
      <c r="BW152" s="345"/>
      <c r="BX152" s="345"/>
      <c r="BY152" s="345"/>
      <c r="BZ152" s="345"/>
      <c r="CA152" s="345"/>
      <c r="CB152" s="345"/>
      <c r="CC152" s="345"/>
      <c r="CD152" s="345"/>
      <c r="CE152" s="345"/>
      <c r="CF152" s="345"/>
      <c r="CG152" s="345"/>
    </row>
    <row r="153" spans="52:93" ht="22.5" customHeight="1"/>
    <row r="154" spans="52:93" ht="22.5" customHeight="1"/>
    <row r="155" spans="52:93" ht="22.5" customHeight="1"/>
  </sheetData>
  <sheetProtection sheet="1" objects="1" scenarios="1" formatCells="0" formatColumns="0" formatRows="0" autoFilter="0"/>
  <mergeCells count="304">
    <mergeCell ref="C2:F2"/>
    <mergeCell ref="H2:X2"/>
    <mergeCell ref="C3:F3"/>
    <mergeCell ref="H3:O3"/>
    <mergeCell ref="Q3:X3"/>
    <mergeCell ref="C5:I5"/>
    <mergeCell ref="J5:P5"/>
    <mergeCell ref="Q5:W5"/>
    <mergeCell ref="X5:AD5"/>
    <mergeCell ref="AG5:AJ7"/>
    <mergeCell ref="D6:F6"/>
    <mergeCell ref="K6:M6"/>
    <mergeCell ref="R6:T6"/>
    <mergeCell ref="Y6:AA6"/>
    <mergeCell ref="D7:F7"/>
    <mergeCell ref="K7:M7"/>
    <mergeCell ref="R7:T7"/>
    <mergeCell ref="Y7:AA7"/>
    <mergeCell ref="AO9:AO10"/>
    <mergeCell ref="AP9:AP10"/>
    <mergeCell ref="AQ9:AQ10"/>
    <mergeCell ref="AR9:AR10"/>
    <mergeCell ref="AS9:AS10"/>
    <mergeCell ref="D10:F10"/>
    <mergeCell ref="K10:M10"/>
    <mergeCell ref="R10:T10"/>
    <mergeCell ref="Y10:AA10"/>
    <mergeCell ref="AK10:AL10"/>
    <mergeCell ref="AI8:AI9"/>
    <mergeCell ref="AJ8:AJ9"/>
    <mergeCell ref="D9:F9"/>
    <mergeCell ref="K9:M9"/>
    <mergeCell ref="R9:T9"/>
    <mergeCell ref="Y9:AA9"/>
    <mergeCell ref="D8:F8"/>
    <mergeCell ref="K8:M8"/>
    <mergeCell ref="R8:T8"/>
    <mergeCell ref="Y8:AA8"/>
    <mergeCell ref="AG8:AG9"/>
    <mergeCell ref="AH8:AH9"/>
    <mergeCell ref="D13:H13"/>
    <mergeCell ref="K13:O13"/>
    <mergeCell ref="R13:V13"/>
    <mergeCell ref="Y13:AC13"/>
    <mergeCell ref="D14:H14"/>
    <mergeCell ref="K14:O14"/>
    <mergeCell ref="R14:V14"/>
    <mergeCell ref="Y14:AC14"/>
    <mergeCell ref="C11:I11"/>
    <mergeCell ref="J11:P11"/>
    <mergeCell ref="Q11:W11"/>
    <mergeCell ref="X11:AD11"/>
    <mergeCell ref="D12:H12"/>
    <mergeCell ref="K12:O12"/>
    <mergeCell ref="R12:V12"/>
    <mergeCell ref="Y12:AC12"/>
    <mergeCell ref="D15:H15"/>
    <mergeCell ref="K15:O15"/>
    <mergeCell ref="R15:V15"/>
    <mergeCell ref="Y15:AC15"/>
    <mergeCell ref="AK15:AL15"/>
    <mergeCell ref="C16:C17"/>
    <mergeCell ref="D16:E16"/>
    <mergeCell ref="J16:J17"/>
    <mergeCell ref="K16:L16"/>
    <mergeCell ref="Q16:Q17"/>
    <mergeCell ref="R16:S16"/>
    <mergeCell ref="X16:X17"/>
    <mergeCell ref="Y16:Z16"/>
    <mergeCell ref="AE16:AE19"/>
    <mergeCell ref="D17:E17"/>
    <mergeCell ref="K17:L17"/>
    <mergeCell ref="R17:S17"/>
    <mergeCell ref="Y17:Z17"/>
    <mergeCell ref="X18:X19"/>
    <mergeCell ref="Y18:Z18"/>
    <mergeCell ref="Y19:Z19"/>
    <mergeCell ref="C20:C21"/>
    <mergeCell ref="D20:E20"/>
    <mergeCell ref="J20:J21"/>
    <mergeCell ref="K20:L20"/>
    <mergeCell ref="Q20:Q21"/>
    <mergeCell ref="R20:S20"/>
    <mergeCell ref="X20:X21"/>
    <mergeCell ref="Y20:Z20"/>
    <mergeCell ref="C18:C19"/>
    <mergeCell ref="D18:E18"/>
    <mergeCell ref="J18:J19"/>
    <mergeCell ref="K18:L18"/>
    <mergeCell ref="Q18:Q19"/>
    <mergeCell ref="R18:S18"/>
    <mergeCell ref="D19:E19"/>
    <mergeCell ref="K19:L19"/>
    <mergeCell ref="R19:S19"/>
    <mergeCell ref="AE20:AE23"/>
    <mergeCell ref="AK20:AL20"/>
    <mergeCell ref="D21:E21"/>
    <mergeCell ref="K21:L21"/>
    <mergeCell ref="R21:S21"/>
    <mergeCell ref="Y21:Z21"/>
    <mergeCell ref="X22:X23"/>
    <mergeCell ref="Y22:Z22"/>
    <mergeCell ref="Y23:Z23"/>
    <mergeCell ref="C24:C25"/>
    <mergeCell ref="D24:E24"/>
    <mergeCell ref="J24:J25"/>
    <mergeCell ref="K24:L24"/>
    <mergeCell ref="Q24:Q25"/>
    <mergeCell ref="R24:S24"/>
    <mergeCell ref="C22:C23"/>
    <mergeCell ref="D22:E22"/>
    <mergeCell ref="J22:J23"/>
    <mergeCell ref="K22:L22"/>
    <mergeCell ref="Q22:Q23"/>
    <mergeCell ref="R22:S22"/>
    <mergeCell ref="D23:E23"/>
    <mergeCell ref="K23:L23"/>
    <mergeCell ref="R23:S23"/>
    <mergeCell ref="X24:X25"/>
    <mergeCell ref="Y24:Z24"/>
    <mergeCell ref="AE24:AE27"/>
    <mergeCell ref="D25:E25"/>
    <mergeCell ref="K25:L25"/>
    <mergeCell ref="R25:S25"/>
    <mergeCell ref="Y25:Z25"/>
    <mergeCell ref="X26:X27"/>
    <mergeCell ref="Y26:Z26"/>
    <mergeCell ref="AG26:AH26"/>
    <mergeCell ref="AI26:AJ26"/>
    <mergeCell ref="D27:E27"/>
    <mergeCell ref="K27:L27"/>
    <mergeCell ref="R27:S27"/>
    <mergeCell ref="Y27:Z27"/>
    <mergeCell ref="AG27:AH28"/>
    <mergeCell ref="AI27:AJ28"/>
    <mergeCell ref="C28:P28"/>
    <mergeCell ref="C26:C27"/>
    <mergeCell ref="D26:E26"/>
    <mergeCell ref="J26:J27"/>
    <mergeCell ref="K26:L26"/>
    <mergeCell ref="Q26:Q27"/>
    <mergeCell ref="R26:S26"/>
    <mergeCell ref="C32:D32"/>
    <mergeCell ref="Y32:AC32"/>
    <mergeCell ref="AP32:AR32"/>
    <mergeCell ref="P33:S33"/>
    <mergeCell ref="Y33:AC33"/>
    <mergeCell ref="AP33:AR33"/>
    <mergeCell ref="Y29:AD30"/>
    <mergeCell ref="AG29:AJ31"/>
    <mergeCell ref="AP29:AR29"/>
    <mergeCell ref="C30:D30"/>
    <mergeCell ref="AP30:AR30"/>
    <mergeCell ref="I31:K31"/>
    <mergeCell ref="Y31:AC31"/>
    <mergeCell ref="AP31:AR31"/>
    <mergeCell ref="C36:D36"/>
    <mergeCell ref="AP36:AR36"/>
    <mergeCell ref="P37:U37"/>
    <mergeCell ref="X37:AC37"/>
    <mergeCell ref="AP37:AR37"/>
    <mergeCell ref="C38:D38"/>
    <mergeCell ref="Y38:AC38"/>
    <mergeCell ref="AP38:AR38"/>
    <mergeCell ref="C34:D34"/>
    <mergeCell ref="Y34:AC34"/>
    <mergeCell ref="AP34:AR34"/>
    <mergeCell ref="I35:K35"/>
    <mergeCell ref="P35:R35"/>
    <mergeCell ref="AP35:AR35"/>
    <mergeCell ref="C42:D42"/>
    <mergeCell ref="AP42:AR42"/>
    <mergeCell ref="I43:K43"/>
    <mergeCell ref="AP43:AR43"/>
    <mergeCell ref="C44:D44"/>
    <mergeCell ref="AP44:AR44"/>
    <mergeCell ref="I39:K39"/>
    <mergeCell ref="P39:R39"/>
    <mergeCell ref="AP39:AR39"/>
    <mergeCell ref="C40:D40"/>
    <mergeCell ref="AP40:AR40"/>
    <mergeCell ref="P41:S41"/>
    <mergeCell ref="AP41:AR41"/>
    <mergeCell ref="B49:D49"/>
    <mergeCell ref="AP49:AR49"/>
    <mergeCell ref="I50:K50"/>
    <mergeCell ref="Y50:AC50"/>
    <mergeCell ref="AP50:AR50"/>
    <mergeCell ref="Y51:AC51"/>
    <mergeCell ref="AP51:AR51"/>
    <mergeCell ref="AP45:AR45"/>
    <mergeCell ref="AP46:AR46"/>
    <mergeCell ref="AP47:AR47"/>
    <mergeCell ref="I48:W49"/>
    <mergeCell ref="Y48:AD49"/>
    <mergeCell ref="AP48:AR48"/>
    <mergeCell ref="P56:U56"/>
    <mergeCell ref="X56:AC56"/>
    <mergeCell ref="Y57:AC57"/>
    <mergeCell ref="I58:K58"/>
    <mergeCell ref="P58:R58"/>
    <mergeCell ref="P60:S60"/>
    <mergeCell ref="P52:S52"/>
    <mergeCell ref="Y52:AC52"/>
    <mergeCell ref="AP52:AR52"/>
    <mergeCell ref="Y53:AC53"/>
    <mergeCell ref="AP53:AR53"/>
    <mergeCell ref="I54:K54"/>
    <mergeCell ref="P54:R54"/>
    <mergeCell ref="AP54:AR54"/>
    <mergeCell ref="I68:K68"/>
    <mergeCell ref="Y68:AC68"/>
    <mergeCell ref="AP68:AR68"/>
    <mergeCell ref="Y69:AC69"/>
    <mergeCell ref="AP69:AR69"/>
    <mergeCell ref="P70:S70"/>
    <mergeCell ref="Y70:AC70"/>
    <mergeCell ref="AP70:AR70"/>
    <mergeCell ref="I62:K62"/>
    <mergeCell ref="AP65:AR65"/>
    <mergeCell ref="I66:W67"/>
    <mergeCell ref="Y66:AD67"/>
    <mergeCell ref="AP66:AR66"/>
    <mergeCell ref="AP67:AR67"/>
    <mergeCell ref="Y75:AC75"/>
    <mergeCell ref="I76:K76"/>
    <mergeCell ref="P76:R76"/>
    <mergeCell ref="P78:S78"/>
    <mergeCell ref="I80:K80"/>
    <mergeCell ref="AP83:AR83"/>
    <mergeCell ref="Y71:AC71"/>
    <mergeCell ref="AP71:AR71"/>
    <mergeCell ref="I72:K72"/>
    <mergeCell ref="P72:R72"/>
    <mergeCell ref="AP72:AR72"/>
    <mergeCell ref="P74:U74"/>
    <mergeCell ref="X74:AC74"/>
    <mergeCell ref="Y87:AC87"/>
    <mergeCell ref="AP87:AR87"/>
    <mergeCell ref="P88:S88"/>
    <mergeCell ref="Y88:AC88"/>
    <mergeCell ref="AP88:AR88"/>
    <mergeCell ref="Y89:AC89"/>
    <mergeCell ref="AP89:AR89"/>
    <mergeCell ref="I84:W85"/>
    <mergeCell ref="Y84:AD85"/>
    <mergeCell ref="AP84:AR84"/>
    <mergeCell ref="AP85:AR85"/>
    <mergeCell ref="I86:K86"/>
    <mergeCell ref="Y86:AC86"/>
    <mergeCell ref="AP86:AR86"/>
    <mergeCell ref="I94:K94"/>
    <mergeCell ref="P94:R94"/>
    <mergeCell ref="P96:S96"/>
    <mergeCell ref="I98:K98"/>
    <mergeCell ref="AZ100:CG100"/>
    <mergeCell ref="BA101:BM101"/>
    <mergeCell ref="I90:K90"/>
    <mergeCell ref="P90:R90"/>
    <mergeCell ref="AP90:AR90"/>
    <mergeCell ref="P92:U92"/>
    <mergeCell ref="X92:AC92"/>
    <mergeCell ref="Y93:AC93"/>
    <mergeCell ref="BA107:BB108"/>
    <mergeCell ref="BC107:BE108"/>
    <mergeCell ref="BF107:BH108"/>
    <mergeCell ref="BI107:BK108"/>
    <mergeCell ref="BN107:BP108"/>
    <mergeCell ref="BB109:BK109"/>
    <mergeCell ref="BL109:BP109"/>
    <mergeCell ref="BA104:BB104"/>
    <mergeCell ref="BA105:BB106"/>
    <mergeCell ref="BC105:BE106"/>
    <mergeCell ref="BF105:BH106"/>
    <mergeCell ref="BI105:BK106"/>
    <mergeCell ref="BN105:BP106"/>
    <mergeCell ref="AZ126:CG126"/>
    <mergeCell ref="BA127:BM127"/>
    <mergeCell ref="BA130:BB130"/>
    <mergeCell ref="BA131:BB132"/>
    <mergeCell ref="BC131:BE132"/>
    <mergeCell ref="BF131:BH132"/>
    <mergeCell ref="BI131:BK132"/>
    <mergeCell ref="BN131:BP132"/>
    <mergeCell ref="BA111:BB112"/>
    <mergeCell ref="BA113:BB114"/>
    <mergeCell ref="BA116:BB117"/>
    <mergeCell ref="BA118:BB119"/>
    <mergeCell ref="BA121:BB122"/>
    <mergeCell ref="BA123:BB124"/>
    <mergeCell ref="AZ152:CG152"/>
    <mergeCell ref="BA137:BB138"/>
    <mergeCell ref="BA139:BB140"/>
    <mergeCell ref="BA142:BB143"/>
    <mergeCell ref="BA144:BB145"/>
    <mergeCell ref="BA147:BB148"/>
    <mergeCell ref="BA149:BB150"/>
    <mergeCell ref="BA133:BB134"/>
    <mergeCell ref="BC133:BE134"/>
    <mergeCell ref="BF133:BH134"/>
    <mergeCell ref="BI133:BK134"/>
    <mergeCell ref="BN133:BP134"/>
    <mergeCell ref="BB135:BK135"/>
    <mergeCell ref="BL135:BP135"/>
  </mergeCells>
  <printOptions horizontalCentered="1" verticalCentered="1"/>
  <pageMargins left="0.19685039370078741" right="0.19685039370078741" top="0" bottom="0" header="0.15748031496062992" footer="0.15748031496062992"/>
  <pageSetup paperSize="9" scale="68" orientation="portrait" horizontalDpi="150" verticalDpi="15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sheetPr codeName="Folha9">
    <tabColor rgb="FF00B050"/>
    <pageSetUpPr fitToPage="1"/>
  </sheetPr>
  <dimension ref="B1:CO155"/>
  <sheetViews>
    <sheetView showGridLines="0" zoomScale="80" zoomScaleNormal="80" workbookViewId="0">
      <selection activeCell="AS14" sqref="AS14"/>
    </sheetView>
  </sheetViews>
  <sheetFormatPr defaultRowHeight="12.75"/>
  <cols>
    <col min="1" max="1" width="1.42578125" style="1" customWidth="1"/>
    <col min="2" max="2" width="2.140625" style="1" customWidth="1"/>
    <col min="3" max="3" width="3.28515625" style="34" customWidth="1"/>
    <col min="4" max="4" width="24.140625" style="1" customWidth="1"/>
    <col min="5" max="5" width="2.85546875" style="1" customWidth="1"/>
    <col min="6" max="9" width="3.28515625" style="1" customWidth="1"/>
    <col min="10" max="10" width="3.28515625" style="34" customWidth="1"/>
    <col min="11" max="11" width="24.140625" style="1" customWidth="1"/>
    <col min="12" max="12" width="2.85546875" style="1" customWidth="1"/>
    <col min="13" max="13" width="3.42578125" style="1" customWidth="1"/>
    <col min="14" max="16" width="3.28515625" style="1" customWidth="1"/>
    <col min="17" max="17" width="3.28515625" style="34" customWidth="1"/>
    <col min="18" max="18" width="24.140625" style="1" customWidth="1"/>
    <col min="19" max="19" width="2.85546875" style="1" customWidth="1"/>
    <col min="20" max="23" width="3.28515625" style="1" customWidth="1"/>
    <col min="24" max="24" width="3.28515625" style="34" customWidth="1"/>
    <col min="25" max="25" width="24.140625" style="1" customWidth="1"/>
    <col min="26" max="26" width="1.85546875" style="1" customWidth="1"/>
    <col min="27" max="29" width="3.28515625" style="1" customWidth="1"/>
    <col min="30" max="30" width="4" style="1" customWidth="1"/>
    <col min="31" max="31" width="6.140625" style="1" customWidth="1"/>
    <col min="32" max="32" width="5" style="1" customWidth="1"/>
    <col min="33" max="33" width="5.5703125" style="1" customWidth="1"/>
    <col min="34" max="34" width="5.85546875" style="1" customWidth="1"/>
    <col min="35" max="35" width="5.5703125" style="1" customWidth="1"/>
    <col min="36" max="36" width="5.85546875" style="1" customWidth="1"/>
    <col min="37" max="38" width="6.85546875" style="1" customWidth="1"/>
    <col min="39" max="39" width="4.7109375" style="1" customWidth="1"/>
    <col min="40" max="40" width="5" style="1" customWidth="1"/>
    <col min="41" max="41" width="32" style="1" customWidth="1"/>
    <col min="42" max="44" width="10" style="1" customWidth="1"/>
    <col min="45" max="51" width="12" style="1" customWidth="1"/>
    <col min="52" max="52" width="2.85546875" style="1" customWidth="1"/>
    <col min="53" max="53" width="34.7109375" style="1" customWidth="1"/>
    <col min="54" max="54" width="8.140625" style="1" customWidth="1"/>
    <col min="55" max="84" width="3.28515625" style="1" customWidth="1"/>
    <col min="85" max="85" width="2.85546875" style="1" customWidth="1"/>
    <col min="86" max="86" width="9.140625" style="1"/>
    <col min="87" max="87" width="7.5703125" style="1" customWidth="1"/>
    <col min="88" max="90" width="9.140625" style="1"/>
    <col min="91" max="91" width="22" style="1" customWidth="1"/>
    <col min="92" max="93" width="27.28515625" style="1" customWidth="1"/>
    <col min="94" max="16384" width="9.140625" style="1"/>
  </cols>
  <sheetData>
    <row r="1" spans="2:71" ht="9" customHeight="1"/>
    <row r="2" spans="2:71" ht="28.5" customHeight="1">
      <c r="B2" s="125"/>
      <c r="C2" s="481" t="s">
        <v>252</v>
      </c>
      <c r="D2" s="481"/>
      <c r="E2" s="481"/>
      <c r="F2" s="481"/>
      <c r="G2" s="110"/>
      <c r="H2" s="482" t="s">
        <v>53</v>
      </c>
      <c r="I2" s="482"/>
      <c r="J2" s="482"/>
      <c r="K2" s="482"/>
      <c r="L2" s="482"/>
      <c r="M2" s="482"/>
      <c r="N2" s="482"/>
      <c r="O2" s="482"/>
      <c r="P2" s="482"/>
      <c r="Q2" s="482"/>
      <c r="R2" s="482"/>
      <c r="S2" s="482"/>
      <c r="T2" s="482"/>
      <c r="U2" s="482"/>
      <c r="V2" s="482"/>
      <c r="W2" s="482"/>
      <c r="X2" s="482"/>
      <c r="Y2" s="110"/>
      <c r="Z2" s="110"/>
      <c r="AA2" s="110"/>
      <c r="AB2" s="110"/>
      <c r="AC2" s="110"/>
      <c r="AD2" s="110" t="s">
        <v>17</v>
      </c>
      <c r="AE2" s="3"/>
      <c r="AG2" s="310"/>
      <c r="AH2" s="311"/>
      <c r="AN2" s="312"/>
      <c r="AO2" s="312"/>
      <c r="AP2" s="312"/>
      <c r="AQ2" s="312"/>
      <c r="AR2" s="312"/>
      <c r="AS2" s="312"/>
      <c r="AT2" s="312"/>
      <c r="AU2" s="312"/>
      <c r="AV2" s="312"/>
      <c r="AW2" s="312"/>
      <c r="AX2" s="312"/>
      <c r="AY2" s="312"/>
      <c r="BA2" s="313"/>
      <c r="BB2" s="313"/>
      <c r="BC2" s="313"/>
      <c r="BD2" s="313"/>
      <c r="BE2" s="313"/>
      <c r="BF2" s="313"/>
      <c r="BG2" s="313"/>
      <c r="BH2" s="313"/>
      <c r="BI2" s="313"/>
      <c r="BJ2" s="313"/>
      <c r="BK2" s="313"/>
      <c r="BL2" s="313"/>
      <c r="BM2" s="313"/>
      <c r="BN2" s="313"/>
      <c r="BO2" s="313"/>
      <c r="BP2" s="313"/>
      <c r="BQ2" s="313"/>
      <c r="BR2" s="313"/>
      <c r="BS2" s="313"/>
    </row>
    <row r="3" spans="2:71" ht="20.25" customHeight="1">
      <c r="B3" s="126"/>
      <c r="C3" s="483" t="s">
        <v>253</v>
      </c>
      <c r="D3" s="483"/>
      <c r="E3" s="483"/>
      <c r="F3" s="483"/>
      <c r="G3" s="111"/>
      <c r="H3" s="484" t="s">
        <v>52</v>
      </c>
      <c r="I3" s="484"/>
      <c r="J3" s="484"/>
      <c r="K3" s="484"/>
      <c r="L3" s="484"/>
      <c r="M3" s="484"/>
      <c r="N3" s="484"/>
      <c r="O3" s="484"/>
      <c r="P3" s="112" t="s">
        <v>31</v>
      </c>
      <c r="Q3" s="485" t="s">
        <v>54</v>
      </c>
      <c r="R3" s="485"/>
      <c r="S3" s="485"/>
      <c r="T3" s="485"/>
      <c r="U3" s="485"/>
      <c r="V3" s="485"/>
      <c r="W3" s="485"/>
      <c r="X3" s="485"/>
      <c r="Y3" s="111"/>
      <c r="Z3" s="111"/>
      <c r="AA3" s="111"/>
      <c r="AB3" s="111"/>
      <c r="AC3" s="111"/>
      <c r="AD3" s="111"/>
      <c r="AE3" s="113"/>
      <c r="AG3" s="310"/>
      <c r="AH3" s="311"/>
      <c r="AN3" s="312"/>
      <c r="AO3" s="312"/>
      <c r="AP3" s="312"/>
      <c r="AQ3" s="312"/>
      <c r="AR3" s="312"/>
      <c r="AS3" s="312"/>
      <c r="AT3" s="312"/>
      <c r="AU3" s="312"/>
      <c r="AV3" s="312"/>
      <c r="AW3" s="312"/>
      <c r="AX3" s="312"/>
      <c r="AY3" s="312"/>
      <c r="BA3" s="313"/>
      <c r="BB3" s="313"/>
      <c r="BC3" s="313"/>
      <c r="BD3" s="313"/>
      <c r="BE3" s="313"/>
      <c r="BF3" s="313"/>
      <c r="BG3" s="313"/>
      <c r="BH3" s="313"/>
      <c r="BI3" s="313"/>
      <c r="BJ3" s="313"/>
      <c r="BK3" s="313"/>
      <c r="BL3" s="313"/>
      <c r="BM3" s="313"/>
      <c r="BN3" s="313"/>
      <c r="BO3" s="313"/>
      <c r="BP3" s="313"/>
      <c r="BQ3" s="313"/>
      <c r="BR3" s="313"/>
      <c r="BS3" s="313"/>
    </row>
    <row r="4" spans="2:71" ht="13.5" customHeight="1" thickBot="1">
      <c r="B4" s="126"/>
      <c r="C4" s="115"/>
      <c r="D4" s="114"/>
      <c r="E4" s="114"/>
      <c r="F4" s="114"/>
      <c r="G4" s="114"/>
      <c r="H4" s="114"/>
      <c r="I4" s="114"/>
      <c r="J4" s="115"/>
      <c r="K4" s="114"/>
      <c r="L4" s="114"/>
      <c r="M4" s="114"/>
      <c r="N4" s="114"/>
      <c r="O4" s="114"/>
      <c r="P4" s="114" t="s">
        <v>19</v>
      </c>
      <c r="Q4" s="115"/>
      <c r="R4" s="114"/>
      <c r="S4" s="114"/>
      <c r="T4" s="114"/>
      <c r="U4" s="114"/>
      <c r="V4" s="114"/>
      <c r="W4" s="114" t="s">
        <v>18</v>
      </c>
      <c r="X4" s="115"/>
      <c r="Y4" s="114"/>
      <c r="Z4" s="114"/>
      <c r="AA4" s="114"/>
      <c r="AB4" s="114"/>
      <c r="AC4" s="114"/>
      <c r="AD4" s="114"/>
      <c r="AE4" s="116"/>
      <c r="AF4" s="106"/>
      <c r="AN4" s="312"/>
      <c r="AO4" s="312"/>
      <c r="AP4" s="312"/>
      <c r="AQ4" s="312"/>
      <c r="AR4" s="312"/>
      <c r="AS4" s="312"/>
      <c r="AT4" s="312"/>
      <c r="AU4" s="312"/>
      <c r="AV4" s="312"/>
      <c r="AW4" s="312"/>
      <c r="AX4" s="312"/>
      <c r="AY4" s="312"/>
      <c r="BA4" s="313"/>
      <c r="BB4" s="313"/>
      <c r="BC4" s="313"/>
      <c r="BD4" s="313"/>
      <c r="BE4" s="313"/>
      <c r="BF4" s="313"/>
      <c r="BG4" s="313"/>
      <c r="BH4" s="313"/>
      <c r="BI4" s="313"/>
      <c r="BJ4" s="313"/>
      <c r="BK4" s="313"/>
      <c r="BL4" s="313"/>
      <c r="BM4" s="313"/>
      <c r="BN4" s="313"/>
      <c r="BO4" s="313"/>
      <c r="BP4" s="313"/>
      <c r="BQ4" s="313"/>
      <c r="BR4" s="313"/>
      <c r="BS4" s="313"/>
    </row>
    <row r="5" spans="2:71" ht="28.5" customHeight="1">
      <c r="B5" s="126"/>
      <c r="C5" s="486" t="s">
        <v>7</v>
      </c>
      <c r="D5" s="487"/>
      <c r="E5" s="487"/>
      <c r="F5" s="487"/>
      <c r="G5" s="487"/>
      <c r="H5" s="487"/>
      <c r="I5" s="488"/>
      <c r="J5" s="486" t="s">
        <v>8</v>
      </c>
      <c r="K5" s="487"/>
      <c r="L5" s="487"/>
      <c r="M5" s="487"/>
      <c r="N5" s="487"/>
      <c r="O5" s="487"/>
      <c r="P5" s="488"/>
      <c r="Q5" s="486" t="s">
        <v>9</v>
      </c>
      <c r="R5" s="487"/>
      <c r="S5" s="487"/>
      <c r="T5" s="487"/>
      <c r="U5" s="487"/>
      <c r="V5" s="487"/>
      <c r="W5" s="488"/>
      <c r="X5" s="486" t="s">
        <v>10</v>
      </c>
      <c r="Y5" s="487"/>
      <c r="Z5" s="487"/>
      <c r="AA5" s="487"/>
      <c r="AB5" s="487"/>
      <c r="AC5" s="487"/>
      <c r="AD5" s="488"/>
      <c r="AE5" s="117"/>
      <c r="AF5" s="107"/>
      <c r="AG5" s="478" t="s">
        <v>47</v>
      </c>
      <c r="AH5" s="478"/>
      <c r="AI5" s="478"/>
      <c r="AJ5" s="478"/>
      <c r="AN5" s="314"/>
      <c r="AO5" s="314"/>
      <c r="AP5" s="314"/>
      <c r="AQ5" s="314"/>
      <c r="AR5" s="314"/>
      <c r="AS5" s="315"/>
      <c r="AT5" s="315"/>
      <c r="AU5" s="315"/>
      <c r="AV5" s="315"/>
      <c r="AW5" s="315"/>
      <c r="AX5" s="315"/>
      <c r="AY5" s="315"/>
      <c r="BA5" s="313"/>
      <c r="BB5" s="313"/>
      <c r="BC5" s="313"/>
      <c r="BD5" s="313"/>
      <c r="BE5" s="313"/>
      <c r="BF5" s="313"/>
      <c r="BG5" s="313"/>
      <c r="BH5" s="313"/>
      <c r="BI5" s="313"/>
      <c r="BJ5" s="313"/>
      <c r="BK5" s="313"/>
      <c r="BL5" s="313"/>
      <c r="BM5" s="313"/>
      <c r="BN5" s="313"/>
      <c r="BO5" s="313"/>
      <c r="BP5" s="313"/>
      <c r="BQ5" s="313"/>
      <c r="BR5" s="313"/>
      <c r="BS5" s="313"/>
    </row>
    <row r="6" spans="2:71" ht="18" customHeight="1">
      <c r="B6" s="126"/>
      <c r="C6" s="2"/>
      <c r="D6" s="480" t="s">
        <v>11</v>
      </c>
      <c r="E6" s="480"/>
      <c r="F6" s="480"/>
      <c r="G6" s="3"/>
      <c r="H6" s="4" t="s">
        <v>6</v>
      </c>
      <c r="I6" s="5"/>
      <c r="J6" s="2"/>
      <c r="K6" s="480" t="s">
        <v>11</v>
      </c>
      <c r="L6" s="480"/>
      <c r="M6" s="480"/>
      <c r="N6" s="3"/>
      <c r="O6" s="4" t="s">
        <v>6</v>
      </c>
      <c r="P6" s="5"/>
      <c r="Q6" s="2"/>
      <c r="R6" s="480" t="s">
        <v>11</v>
      </c>
      <c r="S6" s="480"/>
      <c r="T6" s="480"/>
      <c r="U6" s="3"/>
      <c r="V6" s="4" t="s">
        <v>6</v>
      </c>
      <c r="W6" s="5"/>
      <c r="X6" s="2"/>
      <c r="Y6" s="480" t="s">
        <v>11</v>
      </c>
      <c r="Z6" s="480"/>
      <c r="AA6" s="480"/>
      <c r="AB6" s="3"/>
      <c r="AC6" s="4" t="s">
        <v>6</v>
      </c>
      <c r="AD6" s="5"/>
      <c r="AE6" s="117"/>
      <c r="AF6" s="107"/>
      <c r="AG6" s="478"/>
      <c r="AH6" s="478"/>
      <c r="AI6" s="478"/>
      <c r="AJ6" s="478"/>
      <c r="AN6" s="286"/>
      <c r="AO6" s="286"/>
      <c r="AP6" s="316"/>
      <c r="AQ6" s="316"/>
      <c r="AR6" s="316"/>
      <c r="AS6" s="287"/>
      <c r="AT6" s="287"/>
      <c r="AU6" s="287"/>
      <c r="AV6" s="287"/>
      <c r="AW6" s="287"/>
      <c r="AX6" s="287"/>
      <c r="AY6" s="287"/>
      <c r="BA6" s="313"/>
      <c r="BB6" s="313"/>
      <c r="BC6" s="313"/>
      <c r="BD6" s="313"/>
      <c r="BE6" s="313"/>
      <c r="BF6" s="313"/>
      <c r="BG6" s="313"/>
      <c r="BH6" s="313"/>
      <c r="BI6" s="313"/>
      <c r="BJ6" s="313"/>
      <c r="BK6" s="313"/>
      <c r="BL6" s="313"/>
      <c r="BM6" s="313"/>
      <c r="BN6" s="313"/>
      <c r="BO6" s="313"/>
      <c r="BP6" s="313"/>
      <c r="BQ6" s="313"/>
      <c r="BR6" s="313"/>
      <c r="BS6" s="313"/>
    </row>
    <row r="7" spans="2:71" ht="19.5" customHeight="1" thickBot="1">
      <c r="B7" s="126"/>
      <c r="C7" s="6"/>
      <c r="D7" s="473" t="s">
        <v>429</v>
      </c>
      <c r="E7" s="473"/>
      <c r="F7" s="473"/>
      <c r="G7" s="7" t="s">
        <v>16</v>
      </c>
      <c r="H7" s="8">
        <f>IF(COUNT(F$16,F$22,F$27)=0,"",SUM(AND(F$16&lt;&gt;"",F$17&lt;&gt;"",F$16&gt;F$17),AND(F$22&lt;&gt;"",F$23&lt;&gt;"",F$22&gt;F$23),AND(F$27&lt;&gt;"",F$26&lt;&gt;"",F$27&gt;F$26)))</f>
        <v>1</v>
      </c>
      <c r="I7" s="9"/>
      <c r="J7" s="6"/>
      <c r="K7" s="473" t="s">
        <v>228</v>
      </c>
      <c r="L7" s="473"/>
      <c r="M7" s="473"/>
      <c r="N7" s="7" t="s">
        <v>16</v>
      </c>
      <c r="O7" s="8" t="str">
        <f>IF(COUNT(M$16,M$22,M$27)=0,"",SUM(AND(M$16&lt;&gt;"",M$17&lt;&gt;"",M$16&gt;M$17),AND(M$22&lt;&gt;"",M$23&lt;&gt;"",M$22&gt;M$23),AND(M$27&lt;&gt;"",M$26&lt;&gt;"",M$27&gt;M$26)))</f>
        <v/>
      </c>
      <c r="P7" s="9"/>
      <c r="Q7" s="6"/>
      <c r="R7" s="473" t="s">
        <v>232</v>
      </c>
      <c r="S7" s="473"/>
      <c r="T7" s="473"/>
      <c r="U7" s="7" t="s">
        <v>16</v>
      </c>
      <c r="V7" s="8" t="str">
        <f>IF(COUNT(T$16,T$22,T$27)=0,"",SUM(AND(T$16&lt;&gt;"",T$17&lt;&gt;"",T$16&gt;T$17),AND(T$22&lt;&gt;"",T$23&lt;&gt;"",T$22&gt;T$23),AND(T$27&lt;&gt;"",T$26&lt;&gt;"",T$27&gt;T$26)))</f>
        <v/>
      </c>
      <c r="W7" s="9"/>
      <c r="X7" s="6"/>
      <c r="Y7" s="473" t="s">
        <v>236</v>
      </c>
      <c r="Z7" s="473"/>
      <c r="AA7" s="473"/>
      <c r="AB7" s="7" t="s">
        <v>16</v>
      </c>
      <c r="AC7" s="8" t="str">
        <f>IF(COUNT(AA$16,AA$22,AA$27)=0,"",SUM(AND(AA$16&lt;&gt;"",AA$17&lt;&gt;"",AA$16&gt;AA$17),AND(AA$22&lt;&gt;"",AA$23&lt;&gt;"",AA$22&gt;AA$23),AND(AA$27&lt;&gt;"",AA$26&lt;&gt;"",AA$27&gt;AA$26)))</f>
        <v/>
      </c>
      <c r="AD7" s="9"/>
      <c r="AE7" s="113"/>
      <c r="AG7" s="479"/>
      <c r="AH7" s="479"/>
      <c r="AI7" s="479"/>
      <c r="AJ7" s="479"/>
      <c r="AT7" s="291"/>
      <c r="AU7" s="291"/>
      <c r="AV7" s="290"/>
      <c r="AW7" s="291"/>
      <c r="AX7" s="291"/>
      <c r="AY7" s="290"/>
      <c r="BA7" s="313"/>
      <c r="BB7" s="313"/>
      <c r="BC7" s="313"/>
      <c r="BD7" s="313"/>
      <c r="BE7" s="313"/>
      <c r="BF7" s="313"/>
      <c r="BG7" s="313"/>
      <c r="BH7" s="313"/>
      <c r="BI7" s="313"/>
      <c r="BJ7" s="313"/>
      <c r="BK7" s="313"/>
      <c r="BL7" s="313"/>
      <c r="BM7" s="313"/>
      <c r="BN7" s="313"/>
      <c r="BO7" s="313"/>
      <c r="BP7" s="313"/>
      <c r="BQ7" s="313"/>
      <c r="BR7" s="313"/>
      <c r="BS7" s="313"/>
    </row>
    <row r="8" spans="2:71" ht="19.5" customHeight="1">
      <c r="B8" s="126"/>
      <c r="C8" s="6"/>
      <c r="D8" s="473" t="s">
        <v>226</v>
      </c>
      <c r="E8" s="473"/>
      <c r="F8" s="473"/>
      <c r="G8" s="10" t="s">
        <v>16</v>
      </c>
      <c r="H8" s="8" t="str">
        <f>IF(COUNT(F$18,F$23,F$24)=0,"",SUM(AND(F$18&lt;&gt;"",F$19&lt;&gt;"",F$18&gt;F$19),AND(F$22&lt;&gt;"",F$23&lt;&gt;"",F$23&gt;F$22),AND(F$24&lt;&gt;"",F$25&lt;&gt;"",F$24&gt;F$25)))</f>
        <v/>
      </c>
      <c r="I8" s="9"/>
      <c r="J8" s="6"/>
      <c r="K8" s="473" t="s">
        <v>229</v>
      </c>
      <c r="L8" s="473"/>
      <c r="M8" s="473"/>
      <c r="N8" s="10" t="s">
        <v>16</v>
      </c>
      <c r="O8" s="8" t="str">
        <f>IF(COUNT(M$18,M$23,M$24)=0,"",SUM(AND(M$18&lt;&gt;"",M$19&lt;&gt;"",M$18&gt;M$19),AND(M$22&lt;&gt;"",M$23&lt;&gt;"",M$23&gt;M$22),AND(M$24&lt;&gt;"",M$25&lt;&gt;"",M$24&gt;M$25)))</f>
        <v/>
      </c>
      <c r="P8" s="9"/>
      <c r="Q8" s="6"/>
      <c r="R8" s="473" t="s">
        <v>233</v>
      </c>
      <c r="S8" s="473"/>
      <c r="T8" s="473"/>
      <c r="U8" s="10" t="s">
        <v>16</v>
      </c>
      <c r="V8" s="8" t="str">
        <f>IF(COUNT(T$18,T$23,T$24)=0,"",SUM(AND(T$18&lt;&gt;"",T$19&lt;&gt;"",T$18&gt;T$19),AND(T$22&lt;&gt;"",T$23&lt;&gt;"",T$23&gt;T$22),AND(T$24&lt;&gt;"",T$25&lt;&gt;"",T$24&gt;T$25)))</f>
        <v/>
      </c>
      <c r="W8" s="9"/>
      <c r="X8" s="6"/>
      <c r="Y8" s="473" t="s">
        <v>237</v>
      </c>
      <c r="Z8" s="473"/>
      <c r="AA8" s="473"/>
      <c r="AB8" s="10" t="s">
        <v>16</v>
      </c>
      <c r="AC8" s="8" t="str">
        <f>IF(COUNT(AA$18,AA$23,AA$24)=0,"",SUM(AND(AA$18&lt;&gt;"",AA$19&lt;&gt;"",AA$18&gt;AA$19),AND(AA$22&lt;&gt;"",AA$23&lt;&gt;"",AA$23&gt;AA$22),AND(AA$24&lt;&gt;"",AA$25&lt;&gt;"",AA$24&gt;AA$25)))</f>
        <v/>
      </c>
      <c r="AD8" s="9"/>
      <c r="AE8" s="113"/>
      <c r="AG8" s="474" t="s">
        <v>40</v>
      </c>
      <c r="AH8" s="476" t="s">
        <v>41</v>
      </c>
      <c r="AI8" s="474" t="s">
        <v>40</v>
      </c>
      <c r="AJ8" s="476" t="s">
        <v>41</v>
      </c>
      <c r="AT8" s="317"/>
      <c r="AU8" s="317"/>
      <c r="AV8" s="290"/>
      <c r="AW8" s="317"/>
      <c r="AX8" s="317"/>
      <c r="AY8" s="290"/>
      <c r="BA8" s="313"/>
      <c r="BB8" s="313"/>
      <c r="BC8" s="313"/>
      <c r="BD8" s="313"/>
      <c r="BE8" s="313"/>
      <c r="BF8" s="313"/>
      <c r="BG8" s="313"/>
      <c r="BH8" s="313"/>
      <c r="BI8" s="313"/>
      <c r="BJ8" s="313"/>
      <c r="BK8" s="313"/>
      <c r="BL8" s="313"/>
      <c r="BM8" s="313"/>
      <c r="BN8" s="313"/>
      <c r="BO8" s="313"/>
      <c r="BP8" s="313"/>
      <c r="BQ8" s="313"/>
      <c r="BR8" s="313"/>
      <c r="BS8" s="313"/>
    </row>
    <row r="9" spans="2:71" ht="19.5" customHeight="1" thickBot="1">
      <c r="B9" s="126"/>
      <c r="C9" s="6"/>
      <c r="D9" s="473" t="s">
        <v>227</v>
      </c>
      <c r="E9" s="473"/>
      <c r="F9" s="473"/>
      <c r="G9" s="10" t="s">
        <v>16</v>
      </c>
      <c r="H9" s="8" t="str">
        <f>IF(COUNT(F$19,F$21,F$26)=0,"",SUM(AND(F$18&lt;&gt;"",F$19&lt;&gt;"",F$19&gt;F$18),AND(F$20&lt;&gt;"",F$21&lt;&gt;"",F$21&gt;F$20),AND(F$26&lt;&gt;"",F$27&lt;&gt;"",F$26&gt;F$27)))</f>
        <v/>
      </c>
      <c r="I9" s="9"/>
      <c r="J9" s="6"/>
      <c r="K9" s="473" t="s">
        <v>230</v>
      </c>
      <c r="L9" s="473"/>
      <c r="M9" s="473"/>
      <c r="N9" s="10" t="s">
        <v>16</v>
      </c>
      <c r="O9" s="8" t="str">
        <f>IF(COUNT(M$19,M$21,M$26)=0,"",SUM(AND(M$18&lt;&gt;"",M$19&lt;&gt;"",M$19&gt;M$18),AND(M$20&lt;&gt;"",M$21&lt;&gt;"",M$21&gt;M$20),AND(M$26&lt;&gt;"",M$27&lt;&gt;"",M$26&gt;M$27)))</f>
        <v/>
      </c>
      <c r="P9" s="9"/>
      <c r="Q9" s="6"/>
      <c r="R9" s="473" t="s">
        <v>234</v>
      </c>
      <c r="S9" s="473"/>
      <c r="T9" s="473"/>
      <c r="U9" s="10" t="s">
        <v>16</v>
      </c>
      <c r="V9" s="8" t="str">
        <f>IF(COUNT(T$19,T$21,T$26)=0,"",SUM(AND(T$18&lt;&gt;"",T$19&lt;&gt;"",T$19&gt;T$18),AND(T$20&lt;&gt;"",T$21&lt;&gt;"",T$21&gt;T$20),AND(T$26&lt;&gt;"",T$27&lt;&gt;"",T$26&gt;T$27)))</f>
        <v/>
      </c>
      <c r="W9" s="9"/>
      <c r="X9" s="6"/>
      <c r="Y9" s="473" t="s">
        <v>239</v>
      </c>
      <c r="Z9" s="473"/>
      <c r="AA9" s="473"/>
      <c r="AB9" s="10" t="s">
        <v>16</v>
      </c>
      <c r="AC9" s="8" t="str">
        <f>IF(COUNT(AA$19,AA$21,AA$26)=0,"",SUM(AND(AA$18&lt;&gt;"",AA$19&lt;&gt;"",AA$19&gt;AA$18),AND(AA$20&lt;&gt;"",AA$21&lt;&gt;"",AA$21&gt;AA$20),AND(AA$26&lt;&gt;"",AA$27&lt;&gt;"",AA$26&gt;AA$27)))</f>
        <v/>
      </c>
      <c r="AD9" s="9"/>
      <c r="AE9" s="113"/>
      <c r="AG9" s="475"/>
      <c r="AH9" s="477"/>
      <c r="AI9" s="475"/>
      <c r="AJ9" s="477"/>
      <c r="AN9" s="318"/>
      <c r="AO9" s="468" t="s">
        <v>415</v>
      </c>
      <c r="AP9" s="470" t="s">
        <v>416</v>
      </c>
      <c r="AQ9" s="470" t="s">
        <v>417</v>
      </c>
      <c r="AR9" s="470" t="s">
        <v>418</v>
      </c>
      <c r="AS9" s="472" t="s">
        <v>419</v>
      </c>
      <c r="AT9" s="291"/>
      <c r="AU9" s="291"/>
      <c r="AV9" s="290"/>
      <c r="AW9" s="291"/>
      <c r="AX9" s="291"/>
      <c r="AY9" s="290"/>
      <c r="BA9" s="313"/>
      <c r="BB9" s="313"/>
      <c r="BC9" s="313"/>
      <c r="BD9" s="313"/>
      <c r="BE9" s="313"/>
      <c r="BF9" s="313"/>
      <c r="BG9" s="313"/>
      <c r="BH9" s="313"/>
      <c r="BI9" s="313"/>
      <c r="BJ9" s="313"/>
      <c r="BK9" s="313"/>
      <c r="BL9" s="313"/>
      <c r="BM9" s="313"/>
      <c r="BN9" s="313"/>
      <c r="BO9" s="313"/>
      <c r="BP9" s="313"/>
      <c r="BQ9" s="313"/>
      <c r="BR9" s="313"/>
      <c r="BS9" s="313"/>
    </row>
    <row r="10" spans="2:71" ht="19.5" customHeight="1" thickBot="1">
      <c r="B10" s="126"/>
      <c r="C10" s="6"/>
      <c r="D10" s="473" t="s">
        <v>251</v>
      </c>
      <c r="E10" s="473"/>
      <c r="F10" s="473"/>
      <c r="G10" s="10" t="s">
        <v>16</v>
      </c>
      <c r="H10" s="11">
        <f>IF(COUNT(F$17,F$20,F$25)=0,"",SUM(AND(F$16&lt;&gt;"",F$17&lt;&gt;"",F$17&gt;F$16),AND(F$20&lt;&gt;"",F$21&lt;&gt;"",F$20&gt;F$21),AND(F$24&lt;&gt;"",F$25&lt;&gt;"",F$25&gt;F$24)))</f>
        <v>0</v>
      </c>
      <c r="I10" s="12"/>
      <c r="J10" s="6"/>
      <c r="K10" s="473" t="s">
        <v>231</v>
      </c>
      <c r="L10" s="473"/>
      <c r="M10" s="473"/>
      <c r="N10" s="10" t="s">
        <v>16</v>
      </c>
      <c r="O10" s="11" t="str">
        <f>IF(COUNT(M$17,M$20,M$25)=0,"",SUM(AND(M$16&lt;&gt;"",M$17&lt;&gt;"",M$17&gt;M$16),AND(M$20&lt;&gt;"",M$21&lt;&gt;"",M$20&gt;M$21),AND(M$24&lt;&gt;"",M$25&lt;&gt;"",M$25&gt;M$24)))</f>
        <v/>
      </c>
      <c r="P10" s="12"/>
      <c r="Q10" s="6"/>
      <c r="R10" s="473" t="s">
        <v>235</v>
      </c>
      <c r="S10" s="473"/>
      <c r="T10" s="473"/>
      <c r="U10" s="10" t="s">
        <v>16</v>
      </c>
      <c r="V10" s="11" t="str">
        <f>IF(COUNT(T$17,T$20,T$25)=0,"",SUM(AND(T$16&lt;&gt;"",T$17&lt;&gt;"",T$17&gt;T$16),AND(T$20&lt;&gt;"",T$21&lt;&gt;"",T$20&gt;T$21),AND(T$24&lt;&gt;"",T$25&lt;&gt;"",T$25&gt;T$24)))</f>
        <v/>
      </c>
      <c r="W10" s="12"/>
      <c r="X10" s="6"/>
      <c r="Y10" s="473" t="s">
        <v>238</v>
      </c>
      <c r="Z10" s="473"/>
      <c r="AA10" s="473"/>
      <c r="AB10" s="10" t="s">
        <v>16</v>
      </c>
      <c r="AC10" s="11" t="str">
        <f>IF(COUNT(AA$17,AA$20,AA$25)=0,"",SUM(AND(AA$16&lt;&gt;"",AA$17&lt;&gt;"",AA$17&gt;AA$16),AND(AA$20&lt;&gt;"",AA$21&lt;&gt;"",AA$20&gt;AA$21),AND(AA$24&lt;&gt;"",AA$25&lt;&gt;"",AA$25&gt;AA$24)))</f>
        <v/>
      </c>
      <c r="AD10" s="12"/>
      <c r="AE10" s="113"/>
      <c r="AG10" s="159">
        <f>$C$16</f>
        <v>1</v>
      </c>
      <c r="AH10" s="160"/>
      <c r="AI10" s="159">
        <f>$C$24</f>
        <v>17</v>
      </c>
      <c r="AJ10" s="160"/>
      <c r="AK10" s="454" t="s">
        <v>49</v>
      </c>
      <c r="AL10" s="455"/>
      <c r="AN10" s="319"/>
      <c r="AO10" s="469"/>
      <c r="AP10" s="469"/>
      <c r="AQ10" s="471"/>
      <c r="AR10" s="469"/>
      <c r="AS10" s="472"/>
      <c r="AT10" s="291"/>
      <c r="AU10" s="291"/>
      <c r="AV10" s="290"/>
      <c r="AW10" s="291"/>
      <c r="AX10" s="291"/>
      <c r="AY10" s="290"/>
      <c r="BA10" s="313"/>
      <c r="BB10" s="313"/>
      <c r="BC10" s="313"/>
      <c r="BD10" s="313"/>
      <c r="BE10" s="313"/>
      <c r="BF10" s="313"/>
      <c r="BG10" s="313"/>
      <c r="BH10" s="313"/>
      <c r="BI10" s="313"/>
      <c r="BJ10" s="313"/>
      <c r="BK10" s="313"/>
      <c r="BL10" s="313"/>
      <c r="BM10" s="313"/>
      <c r="BN10" s="313"/>
      <c r="BO10" s="313"/>
      <c r="BP10" s="313"/>
      <c r="BQ10" s="313"/>
      <c r="BR10" s="313"/>
      <c r="BS10" s="313"/>
    </row>
    <row r="11" spans="2:71" ht="17.25" customHeight="1">
      <c r="B11" s="126"/>
      <c r="C11" s="465" t="s">
        <v>420</v>
      </c>
      <c r="D11" s="466"/>
      <c r="E11" s="466"/>
      <c r="F11" s="466"/>
      <c r="G11" s="466"/>
      <c r="H11" s="466"/>
      <c r="I11" s="467"/>
      <c r="J11" s="465" t="s">
        <v>421</v>
      </c>
      <c r="K11" s="466"/>
      <c r="L11" s="466"/>
      <c r="M11" s="466"/>
      <c r="N11" s="466"/>
      <c r="O11" s="466"/>
      <c r="P11" s="467"/>
      <c r="Q11" s="465" t="s">
        <v>422</v>
      </c>
      <c r="R11" s="466"/>
      <c r="S11" s="466"/>
      <c r="T11" s="466"/>
      <c r="U11" s="466"/>
      <c r="V11" s="466"/>
      <c r="W11" s="467"/>
      <c r="X11" s="465" t="s">
        <v>423</v>
      </c>
      <c r="Y11" s="466"/>
      <c r="Z11" s="466"/>
      <c r="AA11" s="466"/>
      <c r="AB11" s="466"/>
      <c r="AC11" s="466"/>
      <c r="AD11" s="467"/>
      <c r="AE11" s="113"/>
      <c r="AG11" s="109">
        <f>$C$18</f>
        <v>2</v>
      </c>
      <c r="AH11" s="161"/>
      <c r="AI11" s="109">
        <f>$C$26</f>
        <v>18</v>
      </c>
      <c r="AJ11" s="161"/>
      <c r="AK11" s="159">
        <f>$O$52</f>
        <v>33</v>
      </c>
      <c r="AL11" s="160"/>
      <c r="AN11" s="320" t="s">
        <v>424</v>
      </c>
      <c r="AO11" s="321" t="str">
        <f>IF(D7="","",D7)</f>
        <v>Manuel P/Margarida C (AE Sertã)</v>
      </c>
      <c r="AP11" s="322">
        <f>H7</f>
        <v>1</v>
      </c>
      <c r="AQ11" s="322">
        <f>IF(AP11="","",(IF(F16="",0,F16)+IF(F22="",0,F22)+IF(F27="",0,F27))-(IF(F17="",0,F17)+IF(F23="",0,F23)+IF(F26="",0,F26)))</f>
        <v>1</v>
      </c>
      <c r="AR11" s="322">
        <f>IF(AP11="","",(IF(F16="",0,SUM(G16:I16))+IF(F22="",0,SUM(G22:I22))+IF(F27="",0,SUM(G27:I27)))-(IF(F17="",0,SUM(G17:I17))+IF(F23="",0,SUM(G23:I23))+IF(F26="",0,SUM(G26:I26))))</f>
        <v>6</v>
      </c>
      <c r="AT11" s="291"/>
      <c r="AU11" s="291"/>
      <c r="AV11" s="290"/>
      <c r="AW11" s="291"/>
      <c r="AX11" s="291"/>
      <c r="AY11" s="290"/>
      <c r="BA11" s="313"/>
      <c r="BB11" s="313"/>
      <c r="BC11" s="313"/>
      <c r="BD11" s="313"/>
      <c r="BE11" s="313"/>
      <c r="BF11" s="313"/>
      <c r="BG11" s="313"/>
      <c r="BH11" s="313"/>
      <c r="BI11" s="313"/>
      <c r="BJ11" s="313"/>
      <c r="BK11" s="313"/>
      <c r="BL11" s="313"/>
      <c r="BM11" s="313"/>
      <c r="BN11" s="313"/>
      <c r="BO11" s="313"/>
      <c r="BP11" s="313"/>
      <c r="BQ11" s="313"/>
      <c r="BR11" s="313"/>
      <c r="BS11" s="313"/>
    </row>
    <row r="12" spans="2:71" ht="15" customHeight="1">
      <c r="B12" s="126"/>
      <c r="C12" s="13" t="s">
        <v>12</v>
      </c>
      <c r="D12" s="463" t="str">
        <f>IF(COUNTIF(H$7:H$10,"")&gt;2,"",IF(LARGE(H$7:H$10,1)&lt;&gt;LARGE(H$7:H$10,2),CHOOSE(MATCH(LARGE(H$7:H$10,1),H$7:H$10,0),D$7,D$8,D$9,D$10),"empate"))</f>
        <v>Manuel P/Margarida C (AE Sertã)</v>
      </c>
      <c r="E12" s="463"/>
      <c r="F12" s="463"/>
      <c r="G12" s="463"/>
      <c r="H12" s="463"/>
      <c r="I12" s="14"/>
      <c r="J12" s="13" t="s">
        <v>12</v>
      </c>
      <c r="K12" s="463" t="str">
        <f>IF(COUNTIF(O$7:O$10,"")&gt;2,"",IF(LARGE(O$7:O$10,1)&lt;&gt;LARGE(O$7:O$10,2),CHOOSE(MATCH(LARGE(O$7:O$10,1),O$7:O$10,0),K$7,K$8,K$9,K$10),"empate"))</f>
        <v/>
      </c>
      <c r="L12" s="463"/>
      <c r="M12" s="463"/>
      <c r="N12" s="463"/>
      <c r="O12" s="463"/>
      <c r="P12" s="14"/>
      <c r="Q12" s="13" t="s">
        <v>12</v>
      </c>
      <c r="R12" s="463" t="str">
        <f>IF(COUNTIF(V$7:V$10,"")&gt;2,"",IF(LARGE(V$7:V$10,1)&lt;&gt;LARGE(V$7:V$10,2),CHOOSE(MATCH(LARGE(V$7:V$10,1),V$7:V$10,0),R$7,R$8,R$9,R$10),"empate"))</f>
        <v/>
      </c>
      <c r="S12" s="463"/>
      <c r="T12" s="463"/>
      <c r="U12" s="463"/>
      <c r="V12" s="463"/>
      <c r="W12" s="14"/>
      <c r="X12" s="13" t="s">
        <v>12</v>
      </c>
      <c r="Y12" s="463" t="str">
        <f>IF(COUNTIF(AC$7:AC$10,"")&gt;2,"",IF(LARGE(AC$7:AC$10,1)&lt;&gt;LARGE(AC$7:AC$10,2),CHOOSE(MATCH(LARGE(AC$7:AC$10,1),AC$7:AC$10,0),Y$7,Y$8,Y$9,Y$10),"empate"))</f>
        <v/>
      </c>
      <c r="Z12" s="463"/>
      <c r="AA12" s="463"/>
      <c r="AB12" s="463"/>
      <c r="AC12" s="463"/>
      <c r="AD12" s="14"/>
      <c r="AE12" s="113"/>
      <c r="AG12" s="109">
        <f>$J$16</f>
        <v>3</v>
      </c>
      <c r="AH12" s="161"/>
      <c r="AI12" s="109">
        <f>$J$24</f>
        <v>19</v>
      </c>
      <c r="AJ12" s="161"/>
      <c r="AK12" s="109">
        <f>$O$60</f>
        <v>34</v>
      </c>
      <c r="AL12" s="161"/>
      <c r="AN12" s="323" t="s">
        <v>226</v>
      </c>
      <c r="AO12" s="321" t="str">
        <f>IF(D8="","",D8)</f>
        <v>A2</v>
      </c>
      <c r="AP12" s="324" t="str">
        <f>H8</f>
        <v/>
      </c>
      <c r="AQ12" s="324" t="str">
        <f>IF(AP12="","",(IF(F18="",0,F18)+IF(F23="",0,F23)+IF(F24="",0,F24))-(IF(F19="",0,F19)+IF(F22="",0,F22)+IF(F25="",0,F25)))</f>
        <v/>
      </c>
      <c r="AR12" s="324" t="str">
        <f>IF(AP12="","",(IF(F18="",0,SUM(G18:I18))+IF(F23="",0,SUM(G23:I23))+IF(F24="",0,SUM(G24:I24)))-(IF(F19="",0,SUM(G19:I19))+IF(F22="",0,SUM(G22:I22))+IF(F25="",0,SUM(G25:I25))))</f>
        <v/>
      </c>
      <c r="AS12" s="290"/>
      <c r="AT12" s="291"/>
      <c r="AU12" s="291"/>
      <c r="AV12" s="290"/>
      <c r="AW12" s="291"/>
      <c r="AX12" s="291"/>
      <c r="AY12" s="290"/>
      <c r="BA12" s="175"/>
      <c r="BB12" s="175"/>
    </row>
    <row r="13" spans="2:71" ht="15" customHeight="1">
      <c r="B13" s="126"/>
      <c r="C13" s="13" t="s">
        <v>13</v>
      </c>
      <c r="D13" s="463" t="str">
        <f>IF(COUNTIF(H$7:H$10,"")&gt;2,"",IF(COUNTIF(H$7:H$10,"")=2,CHOOSE(MATCH(LARGE(H$7:H$10,2),H$7:H$10,0),D$7,D$8,D$9,D$10),IF(AND(LARGE(H$7:H$10,2)&lt;&gt;LARGE(H$7:H$10,1),LARGE(H$7:H$10,2)&lt;&gt;LARGE(H$7:H$10,3)),CHOOSE(MATCH(LARGE(H$7:H$10,2),H$7:H$10,0),D$7,D$8,D$9,D$10),"empate")))</f>
        <v>A4</v>
      </c>
      <c r="E13" s="463"/>
      <c r="F13" s="463"/>
      <c r="G13" s="463"/>
      <c r="H13" s="463"/>
      <c r="I13" s="14"/>
      <c r="J13" s="13" t="s">
        <v>13</v>
      </c>
      <c r="K13" s="463" t="str">
        <f>IF(COUNTIF(O$7:O$10,"")&gt;2,"",IF(COUNTIF(O$7:O$10,"")=2,CHOOSE(MATCH(LARGE(O$7:O$10,2),O$7:O$10,0),K$7,K$8,K$9,K$10),IF(AND(LARGE(O$7:O$10,2)&lt;&gt;LARGE(O$7:O$10,1),LARGE(O$7:O$10,2)&lt;&gt;LARGE(O$7:O$10,3)),CHOOSE(MATCH(LARGE(O$7:O$10,2),O$7:O$10,0),K$7,K$8,K$9,K$10),"empate")))</f>
        <v/>
      </c>
      <c r="L13" s="463"/>
      <c r="M13" s="463"/>
      <c r="N13" s="463"/>
      <c r="O13" s="463"/>
      <c r="P13" s="14"/>
      <c r="Q13" s="13" t="s">
        <v>13</v>
      </c>
      <c r="R13" s="463" t="str">
        <f>IF(COUNTIF(V$7:V$10,"")&gt;2,"",IF(COUNTIF(V$7:V$10,"")=2,CHOOSE(MATCH(LARGE(V$7:V$10,2),V$7:V$10,0),R$7,R$8,R$9,R$10),IF(AND(LARGE(V$7:V$10,2)&lt;&gt;LARGE(V$7:V$10,1),LARGE(V$7:V$10,2)&lt;&gt;LARGE(V$7:V$10,3)),CHOOSE(MATCH(LARGE(V$7:V$10,2),V$7:V$10,0),R$7,R$8,R$9,R$10),"empate")))</f>
        <v/>
      </c>
      <c r="S13" s="463"/>
      <c r="T13" s="463"/>
      <c r="U13" s="463"/>
      <c r="V13" s="463"/>
      <c r="W13" s="14"/>
      <c r="X13" s="13" t="s">
        <v>13</v>
      </c>
      <c r="Y13" s="463" t="str">
        <f>IF(COUNTIF(AC$7:AC$10,"")&gt;2,"",IF(COUNTIF(AC$7:AC$10,"")=2,CHOOSE(MATCH(LARGE(AC$7:AC$10,2),AC$7:AC$10,0),Y$7,Y$8,Y$9,Y$10),IF(AND(LARGE(AC$7:AC$10,2)&lt;&gt;LARGE(AC$7:AC$10,1),LARGE(AC$7:AC$10,2)&lt;&gt;LARGE(AC$7:AC$10,3)),CHOOSE(MATCH(LARGE(AC$7:AC$10,2),AC$7:AC$10,0),Y$7,Y$8,Y$9,Y$10),"empate")))</f>
        <v/>
      </c>
      <c r="Z13" s="463"/>
      <c r="AA13" s="463"/>
      <c r="AB13" s="463"/>
      <c r="AC13" s="463"/>
      <c r="AD13" s="14"/>
      <c r="AE13" s="113"/>
      <c r="AG13" s="109">
        <f>$J$18</f>
        <v>4</v>
      </c>
      <c r="AH13" s="161"/>
      <c r="AI13" s="109">
        <f>$J$26</f>
        <v>20</v>
      </c>
      <c r="AJ13" s="161"/>
      <c r="AK13" s="109">
        <f>$V$56</f>
        <v>35</v>
      </c>
      <c r="AL13" s="161"/>
      <c r="AN13" s="323" t="s">
        <v>227</v>
      </c>
      <c r="AO13" s="321" t="str">
        <f>IF(D9="","",D9)</f>
        <v>A3</v>
      </c>
      <c r="AP13" s="324" t="str">
        <f>H9</f>
        <v/>
      </c>
      <c r="AQ13" s="324" t="str">
        <f>IF(AP13="","",(IF(F19="",0,F19)+IF(F21="",0,F21)+IF(F26="",0,F26))-(IF(F18="",0,F18)+IF(F20="",0,F20)+IF(F27="",0,F27)))</f>
        <v/>
      </c>
      <c r="AR13" s="324" t="str">
        <f>IF(AP13="","",(IF(F19="",0,SUM(G19:I19))+IF(F21="",0,SUM(G21:I21))+IF(F26="",0,SUM(G26:I26)))-(IF(F18="",0,SUM(G18:I18))+IF(F20="",0,SUM(G20:I20))+IF(F27="",0,SUM(G27:I27))))</f>
        <v/>
      </c>
      <c r="AS13" s="290"/>
      <c r="AT13" s="291"/>
      <c r="AU13" s="291"/>
      <c r="AV13" s="290"/>
      <c r="AW13" s="291"/>
      <c r="AX13" s="291"/>
      <c r="AY13" s="290"/>
    </row>
    <row r="14" spans="2:71" ht="15" customHeight="1" thickBot="1">
      <c r="B14" s="126"/>
      <c r="C14" s="6" t="s">
        <v>14</v>
      </c>
      <c r="D14" s="464" t="str">
        <f>IF(COUNTIF(H$7:H$10,"")&gt;=2,"",IF(COUNTIF(H$7:H$10,"")=1,IF(LARGE(H$7:H$10,3)&lt;&gt;LARGE(H$7:H$10,2),CHOOSE(MATCH(LARGE(H$7:H$10,3),H$7:H$10,0),D$7,D$8,D$9,D$10),"empate"),IF(AND(LARGE(H$7:H$10,3)&lt;&gt;LARGE(H$7:H$10,2),LARGE(H$7:H$10,3)&lt;&gt;LARGE(H$7:H$10,4)),CHOOSE(MATCH(LARGE(H$7:H$10,3),H$7:H$10,0),D$7,D$8,D$9,D$10),"empate")))</f>
        <v/>
      </c>
      <c r="E14" s="464"/>
      <c r="F14" s="464"/>
      <c r="G14" s="464"/>
      <c r="H14" s="464"/>
      <c r="I14" s="12"/>
      <c r="J14" s="15" t="s">
        <v>14</v>
      </c>
      <c r="K14" s="464" t="str">
        <f>IF(COUNTIF(O$7:O$10,"")&gt;=2,"",IF(COUNTIF(O$7:O$10,"")=1,IF(LARGE(O$7:O$10,3)&lt;&gt;LARGE(O$7:O$10,2),CHOOSE(MATCH(LARGE(O$7:O$10,3),O$7:O$10,0),K$7,K$8,K$9,K$10),"empate"),IF(AND(LARGE(O$7:O$10,3)&lt;&gt;LARGE(O$7:O$10,2),LARGE(O$7:O$10,3)&lt;&gt;LARGE(O$7:O$10,4)),CHOOSE(MATCH(LARGE(O$7:O$10,3),O$7:O$10,0),K$7,K$8,K$9,K$10),"empate")))</f>
        <v/>
      </c>
      <c r="L14" s="464"/>
      <c r="M14" s="464"/>
      <c r="N14" s="464"/>
      <c r="O14" s="464"/>
      <c r="P14" s="16"/>
      <c r="Q14" s="6" t="s">
        <v>14</v>
      </c>
      <c r="R14" s="464" t="str">
        <f>IF(COUNTIF(V$7:V$10,"")&gt;=2,"",IF(COUNTIF(V$7:V$10,"")=1,IF(LARGE(V$7:V$10,3)&lt;&gt;LARGE(V$7:V$10,2),CHOOSE(MATCH(LARGE(V$7:V$10,3),V$7:V$10,0),R$7,R$8,R$9,R$10),"empate"),IF(AND(LARGE(V$7:V$10,3)&lt;&gt;LARGE(V$7:V$10,2),LARGE(V$7:V$10,3)&lt;&gt;LARGE(V$7:V$10,4)),CHOOSE(MATCH(LARGE(V$7:V$10,3),V$7:V$10,0),R$7,R$8,R$9,R$10),"empate")))</f>
        <v/>
      </c>
      <c r="S14" s="464"/>
      <c r="T14" s="464"/>
      <c r="U14" s="464"/>
      <c r="V14" s="464"/>
      <c r="W14" s="12"/>
      <c r="X14" s="6" t="s">
        <v>14</v>
      </c>
      <c r="Y14" s="464" t="str">
        <f>IF(COUNTIF(AC$7:AC$10,"")&gt;=2,"",IF(COUNTIF(AC$7:AC$10,"")=1,IF(LARGE(AC$7:AC$10,3)&lt;&gt;LARGE(AC$7:AC$10,2),CHOOSE(MATCH(LARGE(AC$7:AC$10,3),AC$7:AC$10,0),Y$7,Y$8,Y$9,Y$10),"empate"),IF(AND(LARGE(AC$7:AC$10,3)&lt;&gt;LARGE(AC$7:AC$10,2),LARGE(AC$7:AC$10,3)&lt;&gt;LARGE(AC$7:AC$10,4)),CHOOSE(MATCH(LARGE(AC$7:AC$10,3),AC$7:AC$10,0),Y$7,Y$8,Y$9,Y$10),"empate")))</f>
        <v/>
      </c>
      <c r="Z14" s="464"/>
      <c r="AA14" s="464"/>
      <c r="AB14" s="464"/>
      <c r="AC14" s="464"/>
      <c r="AD14" s="12"/>
      <c r="AE14" s="113"/>
      <c r="AG14" s="109">
        <f>$Q$16</f>
        <v>5</v>
      </c>
      <c r="AH14" s="161"/>
      <c r="AI14" s="109">
        <f>$Q$24</f>
        <v>21</v>
      </c>
      <c r="AJ14" s="161"/>
      <c r="AK14" s="130">
        <f>$W$56</f>
        <v>36</v>
      </c>
      <c r="AL14" s="163"/>
      <c r="AN14" s="325" t="s">
        <v>251</v>
      </c>
      <c r="AO14" s="326" t="str">
        <f>IF(D10="","",D10)</f>
        <v>A4</v>
      </c>
      <c r="AP14" s="324">
        <f>H10</f>
        <v>0</v>
      </c>
      <c r="AQ14" s="326">
        <f>IF(AP14="","",(IF(F17="",0,F17)+IF(F20="",0,F20)+IF(F25="",0,F25))-(IF(F16="",0,F16)+IF(F21="",0,F21)+IF(F24="",0,F24)))</f>
        <v>-1</v>
      </c>
      <c r="AR14" s="326">
        <f>IF(AP14="","",(IF(F17="",0,SUM(G17:I17))+IF(F20="",0,SUM(G20:I20))+IF(F25="",0,SUM(G25:I25)))-(IF(F16="",0,SUM(G16:I16))+IF(F21="",0,SUM(G21:I21))+IF(F24="",0,SUM(G24:I24))))</f>
        <v>-6</v>
      </c>
      <c r="AS14" s="290"/>
      <c r="AT14" s="291"/>
      <c r="AU14" s="291"/>
      <c r="AV14" s="290"/>
      <c r="AW14" s="291"/>
      <c r="AX14" s="291"/>
      <c r="AY14" s="290"/>
    </row>
    <row r="15" spans="2:71" ht="19.5" customHeight="1" thickBot="1">
      <c r="B15" s="126"/>
      <c r="C15" s="17" t="s">
        <v>15</v>
      </c>
      <c r="D15" s="453" t="str">
        <f>IF(COUNTIF(H$7:H$10,"")&gt;=1,"",IF(LARGE(H$7:H$10,4)&lt;&gt;LARGE(H$7:H$10,3),CHOOSE(MATCH(LARGE(H$7:H$10,4),H$7:H$10,0),D$7,D$8,D$9,D$10),"empate"))</f>
        <v/>
      </c>
      <c r="E15" s="453"/>
      <c r="F15" s="453"/>
      <c r="G15" s="453"/>
      <c r="H15" s="453"/>
      <c r="I15" s="18"/>
      <c r="J15" s="19" t="s">
        <v>15</v>
      </c>
      <c r="K15" s="453" t="str">
        <f>IF(COUNTIF(O$7:O$10,"")&gt;=1,"",IF(LARGE(O$7:O$10,4)&lt;&gt;LARGE(O$7:O$10,3),CHOOSE(MATCH(LARGE(O$7:O$10,4),O$7:O$10,0),K$7,K$8,K$9,K$10),"empate"))</f>
        <v/>
      </c>
      <c r="L15" s="453"/>
      <c r="M15" s="453"/>
      <c r="N15" s="453"/>
      <c r="O15" s="453"/>
      <c r="P15" s="20"/>
      <c r="Q15" s="17" t="s">
        <v>15</v>
      </c>
      <c r="R15" s="453" t="str">
        <f>IF(COUNTIF(V$7:V$10,"")&gt;=1,"",IF(LARGE(V$7:V$10,4)&lt;&gt;LARGE(V$7:V$10,3),CHOOSE(MATCH(LARGE(V$7:V$10,4),V$7:V$10,0),R$7,R$8,R$9,R$10),"empate"))</f>
        <v/>
      </c>
      <c r="S15" s="453"/>
      <c r="T15" s="453"/>
      <c r="U15" s="453"/>
      <c r="V15" s="453"/>
      <c r="W15" s="18"/>
      <c r="X15" s="17" t="s">
        <v>15</v>
      </c>
      <c r="Y15" s="453" t="str">
        <f>IF(COUNTIF(AC$7:AC$10,"")&gt;=1,"",IF(LARGE(AC$7:AC$10,4)&lt;&gt;LARGE(AC$7:AC$10,3),CHOOSE(MATCH(LARGE(AC$7:AC$10,4),AC$7:AC$10,0),Y$7,Y$8,Y$9,Y$10),"empate"))</f>
        <v/>
      </c>
      <c r="Z15" s="453"/>
      <c r="AA15" s="453"/>
      <c r="AB15" s="453"/>
      <c r="AC15" s="453"/>
      <c r="AD15" s="18"/>
      <c r="AE15" s="113"/>
      <c r="AG15" s="109">
        <f>$Q$18</f>
        <v>6</v>
      </c>
      <c r="AH15" s="161"/>
      <c r="AI15" s="109">
        <f>$Q$26</f>
        <v>22</v>
      </c>
      <c r="AJ15" s="161"/>
      <c r="AK15" s="454" t="s">
        <v>223</v>
      </c>
      <c r="AL15" s="455"/>
      <c r="AN15" s="327" t="s">
        <v>228</v>
      </c>
      <c r="AO15" s="328" t="str">
        <f>IF(K7="","",K7)</f>
        <v>B1</v>
      </c>
      <c r="AP15" s="329" t="str">
        <f>O7</f>
        <v/>
      </c>
      <c r="AQ15" s="329" t="str">
        <f>IF(AP15="","",(IF(M16="",0,M16)+IF(M22="",0,M22)+IF(M27="",0,M27))-(IF(M17="",0,M17)+IF(M23="",0,M23)+IF(M26="",0,M26)))</f>
        <v/>
      </c>
      <c r="AR15" s="329" t="str">
        <f>IF(AP15="","",(IF(M16="",0,SUM(N16:P16))+IF(M22="",0,SUM(N22:P22))+IF(M27="",0,SUM(N27:P27)))-(IF(M17="",0,SUM(N17:P17))+IF(M23="",0,SUM(N23:P23))+IF(M26="",0,SUM(N26:P26))))</f>
        <v/>
      </c>
      <c r="AS15" s="290"/>
      <c r="AT15" s="291"/>
      <c r="AU15" s="291"/>
      <c r="AV15" s="290"/>
      <c r="AW15" s="291"/>
      <c r="AX15" s="291"/>
      <c r="AY15" s="290"/>
    </row>
    <row r="16" spans="2:71" ht="15" customHeight="1">
      <c r="B16" s="126"/>
      <c r="C16" s="456">
        <v>1</v>
      </c>
      <c r="D16" s="458" t="str">
        <f>IF(OR(D7="",D10=""),"",D7)</f>
        <v>Manuel P/Margarida C (AE Sertã)</v>
      </c>
      <c r="E16" s="458"/>
      <c r="F16" s="21">
        <f>IF(COUNT(G16:I16)&lt;1,"",IF(SUM(IF(G16&gt;G17,1,0),IF(H16&gt;H17,1,0),IF(I16&gt;I17,1,0))&gt;2,"??",SUM(IF(G16&gt;G17,1,0),IF(H16&gt;H17,1,0),IF(I16&gt;I17,1,0))))</f>
        <v>2</v>
      </c>
      <c r="G16" s="138">
        <v>21</v>
      </c>
      <c r="H16" s="139">
        <v>15</v>
      </c>
      <c r="I16" s="140">
        <v>21</v>
      </c>
      <c r="J16" s="459">
        <v>3</v>
      </c>
      <c r="K16" s="458" t="str">
        <f>IF(OR(K7="",K10=""),"",K7)</f>
        <v>B1</v>
      </c>
      <c r="L16" s="458"/>
      <c r="M16" s="21" t="str">
        <f>IF(COUNT(N16:P16)&lt;1,"",IF(SUM(IF(N16&gt;N17,1,0),IF(O16&gt;O17,1,0),IF(P16&gt;P17,1,0))&gt;2,"??",SUM(IF(N16&gt;N17,1,0),IF(O16&gt;O17,1,0),IF(P16&gt;P17,1,0))))</f>
        <v/>
      </c>
      <c r="N16" s="138"/>
      <c r="O16" s="139"/>
      <c r="P16" s="140"/>
      <c r="Q16" s="459">
        <v>5</v>
      </c>
      <c r="R16" s="458" t="str">
        <f>IF(OR(R7="",R10=""),"",R7)</f>
        <v>C1</v>
      </c>
      <c r="S16" s="458"/>
      <c r="T16" s="21" t="str">
        <f>IF(COUNT(U16:W16)&lt;1,"",IF(SUM(IF(U16&gt;U17,1,0),IF(V16&gt;V17,1,0),IF(W16&gt;W17,1,0))&gt;2,"??",SUM(IF(U16&gt;U17,1,0),IF(V16&gt;V17,1,0),IF(W16&gt;W17,1,0))))</f>
        <v/>
      </c>
      <c r="U16" s="138"/>
      <c r="V16" s="139"/>
      <c r="W16" s="140"/>
      <c r="X16" s="459">
        <v>7</v>
      </c>
      <c r="Y16" s="458" t="str">
        <f>IF(OR(Y7="",Y10=""),"",Y7)</f>
        <v>D1</v>
      </c>
      <c r="Z16" s="458"/>
      <c r="AA16" s="21" t="str">
        <f>IF(COUNT(AB16:AD16)&lt;1,"",IF(SUM(IF(AB16&gt;AB17,1,0),IF(AC16&gt;AC17,1,0),IF(AD16&gt;AD17,1,0))&gt;2,"??",SUM(IF(AB16&gt;AB17,1,0),IF(AC16&gt;AC17,1,0),IF(AD16&gt;AD17,1,0))))</f>
        <v/>
      </c>
      <c r="AB16" s="138"/>
      <c r="AC16" s="139"/>
      <c r="AD16" s="140"/>
      <c r="AE16" s="461" t="s">
        <v>43</v>
      </c>
      <c r="AG16" s="109">
        <f>$X$16</f>
        <v>7</v>
      </c>
      <c r="AH16" s="161"/>
      <c r="AI16" s="109">
        <f>$X$24</f>
        <v>23</v>
      </c>
      <c r="AJ16" s="161"/>
      <c r="AK16" s="159">
        <f>$O$70</f>
        <v>37</v>
      </c>
      <c r="AL16" s="160"/>
      <c r="AN16" s="330" t="s">
        <v>229</v>
      </c>
      <c r="AO16" s="331" t="str">
        <f>IF(K8="","",K8)</f>
        <v>B2</v>
      </c>
      <c r="AP16" s="331" t="str">
        <f>O8</f>
        <v/>
      </c>
      <c r="AQ16" s="331" t="str">
        <f>IF(AP16="","",(IF(M18="",0,M18)+IF(M23="",0,M23)+IF(M24="",0,M24))-(IF(M19="",0,M19)+IF(M22="",0,M22)+IF(M25="",0,M25)))</f>
        <v/>
      </c>
      <c r="AR16" s="331" t="str">
        <f>IF(AP16="","",(IF(M18="",0,SUM(N18:P18))+IF(M23="",0,SUM(N23:P23))+IF(M24="",0,SUM(N24:P24)))-(IF(M19="",0,SUM(N19:P19))+IF(M22="",0,SUM(N22:P22))+IF(M25="",0,SUM(N25:P25))))</f>
        <v/>
      </c>
      <c r="AS16" s="290"/>
      <c r="AT16" s="317"/>
      <c r="AU16" s="291"/>
      <c r="AV16" s="290"/>
      <c r="AW16" s="291"/>
      <c r="AX16" s="291"/>
      <c r="AY16" s="290"/>
    </row>
    <row r="17" spans="2:51" ht="15" customHeight="1">
      <c r="B17" s="126"/>
      <c r="C17" s="457"/>
      <c r="D17" s="437" t="str">
        <f>IF(OR(D7="",D10=""),"",D10)</f>
        <v>A4</v>
      </c>
      <c r="E17" s="437"/>
      <c r="F17" s="22">
        <f>IF(COUNT(G17:I17)&lt;1,"",IF(SUM(IF(G17&gt;G16,1,0),IF(H17&gt;H16,1,0),IF(I17&gt;I16,1,0))&gt;2,"??",SUM(IF(G17&gt;G16,1,0),IF(H17&gt;H16,1,0),IF(I17&gt;I16,1,0))))</f>
        <v>1</v>
      </c>
      <c r="G17" s="141">
        <v>12</v>
      </c>
      <c r="H17" s="142">
        <v>21</v>
      </c>
      <c r="I17" s="143">
        <v>18</v>
      </c>
      <c r="J17" s="460"/>
      <c r="K17" s="437" t="str">
        <f>IF(OR(K7="",K10=""),"",K10)</f>
        <v>B4</v>
      </c>
      <c r="L17" s="437"/>
      <c r="M17" s="22" t="str">
        <f>IF(COUNT(N17:P17)&lt;1,"",IF(SUM(IF(N17&gt;N16,1,0),IF(O17&gt;O16,1,0),IF(P17&gt;P16,1,0))&gt;2,"??",SUM(IF(N17&gt;N16,1,0),IF(O17&gt;O16,1,0),IF(P17&gt;P16,1,0))))</f>
        <v/>
      </c>
      <c r="N17" s="141"/>
      <c r="O17" s="142"/>
      <c r="P17" s="143"/>
      <c r="Q17" s="460"/>
      <c r="R17" s="437" t="str">
        <f>IF(OR(R7="",R10=""),"",R10)</f>
        <v>C4</v>
      </c>
      <c r="S17" s="437"/>
      <c r="T17" s="22" t="str">
        <f>IF(COUNT(U17:W17)&lt;1,"",IF(SUM(IF(U17&gt;U16,1,0),IF(V17&gt;V16,1,0),IF(W17&gt;W16,1,0))&gt;2,"??",SUM(IF(U17&gt;U16,1,0),IF(V17&gt;V16,1,0),IF(W17&gt;W16,1,0))))</f>
        <v/>
      </c>
      <c r="U17" s="141"/>
      <c r="V17" s="142"/>
      <c r="W17" s="143"/>
      <c r="X17" s="460"/>
      <c r="Y17" s="437" t="str">
        <f>IF(OR(Y7="",Y10=""),"",Y10)</f>
        <v>D4</v>
      </c>
      <c r="Z17" s="437"/>
      <c r="AA17" s="22" t="str">
        <f>IF(COUNT(AB17:AD17)&lt;1,"",IF(SUM(IF(AB17&gt;AB16,1,0),IF(AC17&gt;AC16,1,0),IF(AD17&gt;AD16,1,0))&gt;2,"??",SUM(IF(AB17&gt;AB16,1,0),IF(AC17&gt;AC16,1,0),IF(AD17&gt;AD16,1,0))))</f>
        <v/>
      </c>
      <c r="AB17" s="141"/>
      <c r="AC17" s="142"/>
      <c r="AD17" s="143"/>
      <c r="AE17" s="435"/>
      <c r="AG17" s="109">
        <f>$X$18</f>
        <v>8</v>
      </c>
      <c r="AH17" s="161"/>
      <c r="AI17" s="109">
        <f>$X$26</f>
        <v>24</v>
      </c>
      <c r="AJ17" s="161"/>
      <c r="AK17" s="109">
        <f>$O$78</f>
        <v>38</v>
      </c>
      <c r="AL17" s="161"/>
      <c r="AN17" s="330" t="s">
        <v>230</v>
      </c>
      <c r="AO17" s="331" t="str">
        <f>IF(K9="","",K9)</f>
        <v>B3</v>
      </c>
      <c r="AP17" s="331" t="str">
        <f>O9</f>
        <v/>
      </c>
      <c r="AQ17" s="331" t="str">
        <f>IF(AP17="","",(IF(M19="",0,M19)+IF(M21="",0,M21)+IF(M26="",0,M26))-(IF(M18="",0,M18)+IF(M20="",0,M20)+IF(M27="",0,M27)))</f>
        <v/>
      </c>
      <c r="AR17" s="331" t="str">
        <f>IF(AP17="","",(IF(M19="",0,SUM(N19:P19))+IF(M21="",0,SUM(N21:P21))+IF(M26="",0,SUM(N26:P26)))-(IF(M18="",0,SUM(N18:P18))+IF(M20="",0,SUM(N20:P20))+IF(M27="",0,SUM(N27:P27))))</f>
        <v/>
      </c>
      <c r="AS17" s="290"/>
      <c r="AT17" s="291"/>
      <c r="AU17" s="291"/>
      <c r="AV17" s="290"/>
      <c r="AW17" s="291"/>
      <c r="AX17" s="291"/>
      <c r="AY17" s="290"/>
    </row>
    <row r="18" spans="2:51" ht="15" customHeight="1">
      <c r="B18" s="126"/>
      <c r="C18" s="428">
        <v>2</v>
      </c>
      <c r="D18" s="430" t="str">
        <f>IF(OR(D8="",D9=""),"",D8)</f>
        <v>A2</v>
      </c>
      <c r="E18" s="430"/>
      <c r="F18" s="23" t="str">
        <f>IF(COUNT(G18:I18)&lt;1,"",IF(SUM(IF(G18&gt;G19,1,0),IF(H18&gt;H19,1,0),IF(I18&gt;I19,1,0))&gt;2,"??",SUM(IF(G18&gt;G19,1,0),IF(H18&gt;H19,1,0),IF(I18&gt;I19,1,0))))</f>
        <v/>
      </c>
      <c r="G18" s="144"/>
      <c r="H18" s="145"/>
      <c r="I18" s="146"/>
      <c r="J18" s="428">
        <v>4</v>
      </c>
      <c r="K18" s="430" t="str">
        <f>IF(OR(K8="",K9=""),"",K8)</f>
        <v>B2</v>
      </c>
      <c r="L18" s="430"/>
      <c r="M18" s="23" t="str">
        <f>IF(COUNT(N18:P18)&lt;1,"",IF(SUM(IF(N18&gt;N19,1,0),IF(O18&gt;O19,1,0),IF(P18&gt;P19,1,0))&gt;2,"??",SUM(IF(N18&gt;N19,1,0),IF(O18&gt;O19,1,0),IF(P18&gt;P19,1,0))))</f>
        <v/>
      </c>
      <c r="N18" s="144"/>
      <c r="O18" s="145"/>
      <c r="P18" s="146"/>
      <c r="Q18" s="428">
        <v>6</v>
      </c>
      <c r="R18" s="430" t="str">
        <f>IF(OR(R8="",R9=""),"",R8)</f>
        <v>C2</v>
      </c>
      <c r="S18" s="430"/>
      <c r="T18" s="23" t="str">
        <f>IF(COUNT(U18:W18)&lt;1,"",IF(SUM(IF(U18&gt;U19,1,0),IF(V18&gt;V19,1,0),IF(W18&gt;W19,1,0))&gt;2,"??",SUM(IF(U18&gt;U19,1,0),IF(V18&gt;V19,1,0),IF(W18&gt;W19,1,0))))</f>
        <v/>
      </c>
      <c r="U18" s="144"/>
      <c r="V18" s="145"/>
      <c r="W18" s="146"/>
      <c r="X18" s="428">
        <v>8</v>
      </c>
      <c r="Y18" s="430" t="str">
        <f>IF(OR(Y8="",Y9=""),"",Y8)</f>
        <v>D2</v>
      </c>
      <c r="Z18" s="430"/>
      <c r="AA18" s="23" t="str">
        <f>IF(COUNT(AB18:AD18)&lt;1,"",IF(SUM(IF(AB18&gt;AB19,1,0),IF(AC18&gt;AC19,1,0),IF(AD18&gt;AD19,1,0))&gt;2,"??",SUM(IF(AB18&gt;AB19,1,0),IF(AC18&gt;AC19,1,0),IF(AD18&gt;AD19,1,0))))</f>
        <v/>
      </c>
      <c r="AB18" s="144"/>
      <c r="AC18" s="145"/>
      <c r="AD18" s="146"/>
      <c r="AE18" s="435"/>
      <c r="AG18" s="131">
        <f>$C$20</f>
        <v>9</v>
      </c>
      <c r="AH18" s="162"/>
      <c r="AI18" s="131">
        <f>$H$31</f>
        <v>25</v>
      </c>
      <c r="AJ18" s="162"/>
      <c r="AK18" s="109">
        <f>$V$74</f>
        <v>39</v>
      </c>
      <c r="AL18" s="161"/>
      <c r="AN18" s="332" t="s">
        <v>231</v>
      </c>
      <c r="AO18" s="333" t="str">
        <f>IF(K10="","",K10)</f>
        <v>B4</v>
      </c>
      <c r="AP18" s="331" t="str">
        <f>O10</f>
        <v/>
      </c>
      <c r="AQ18" s="333" t="str">
        <f>IF(AP18="","",(IF(M17="",0,M17)+IF(M20="",0,M20)+IF(M25="",0,M25))-(IF(M16="",0,M16)+IF(M21="",0,M21)+IF(M24="",0,M24)))</f>
        <v/>
      </c>
      <c r="AR18" s="333" t="str">
        <f>IF(AP18="","",(IF(M17="",0,SUM(N17:P17))+IF(M20="",0,SUM(N20:P20))+IF(M25="",0,SUM(N25:P25)))-(IF(M16="",0,SUM(N16:P16))+IF(M21="",0,SUM(N21:P21))+IF(M24="",0,SUM(N24:P24))))</f>
        <v/>
      </c>
      <c r="AS18" s="290"/>
      <c r="AT18" s="291"/>
      <c r="AU18" s="291"/>
      <c r="AV18" s="290"/>
      <c r="AW18" s="291"/>
      <c r="AX18" s="291"/>
      <c r="AY18" s="290"/>
    </row>
    <row r="19" spans="2:51" ht="15" customHeight="1" thickBot="1">
      <c r="B19" s="126"/>
      <c r="C19" s="451"/>
      <c r="D19" s="452" t="str">
        <f>IF(OR(D8="",D9=""),"",D9)</f>
        <v>A3</v>
      </c>
      <c r="E19" s="452"/>
      <c r="F19" s="24" t="str">
        <f>IF(COUNT(G19:I19)&lt;1,"",IF(SUM(IF(G19&gt;G18,1,0),IF(H19&gt;H18,1,0),IF(I19&gt;I18,1,0))&gt;2,"??",SUM(IF(G19&gt;G18,1,0),IF(H19&gt;H18,1,0),IF(I19&gt;I18,1,0))))</f>
        <v/>
      </c>
      <c r="G19" s="147"/>
      <c r="H19" s="148"/>
      <c r="I19" s="149"/>
      <c r="J19" s="451"/>
      <c r="K19" s="452" t="str">
        <f>IF(OR(K8="",K9=""),"",K9)</f>
        <v>B3</v>
      </c>
      <c r="L19" s="452"/>
      <c r="M19" s="24" t="str">
        <f>IF(COUNT(N19:P19)&lt;1,"",IF(SUM(IF(N19&gt;N18,1,0),IF(O19&gt;O18,1,0),IF(P19&gt;P18,1,0))&gt;2,"??",SUM(IF(N19&gt;N18,1,0),IF(O19&gt;O18,1,0),IF(P19&gt;P18,1,0))))</f>
        <v/>
      </c>
      <c r="N19" s="147"/>
      <c r="O19" s="148"/>
      <c r="P19" s="149"/>
      <c r="Q19" s="451"/>
      <c r="R19" s="452" t="str">
        <f>IF(OR(R8="",R9=""),"",R9)</f>
        <v>C3</v>
      </c>
      <c r="S19" s="452"/>
      <c r="T19" s="24" t="str">
        <f>IF(COUNT(U19:W19)&lt;1,"",IF(SUM(IF(U19&gt;U18,1,0),IF(V19&gt;V18,1,0),IF(W19&gt;W18,1,0))&gt;2,"??",SUM(IF(U19&gt;U18,1,0),IF(V19&gt;V18,1,0),IF(W19&gt;W18,1,0))))</f>
        <v/>
      </c>
      <c r="U19" s="147"/>
      <c r="V19" s="148"/>
      <c r="W19" s="149"/>
      <c r="X19" s="451"/>
      <c r="Y19" s="452" t="str">
        <f>IF(OR(Y8="",Y9=""),"",Y9)</f>
        <v>D3</v>
      </c>
      <c r="Z19" s="452"/>
      <c r="AA19" s="24" t="str">
        <f>IF(COUNT(AB19:AD19)&lt;1,"",IF(SUM(IF(AB19&gt;AB18,1,0),IF(AC19&gt;AC18,1,0),IF(AD19&gt;AD18,1,0))&gt;2,"??",SUM(IF(AB19&gt;AB18,1,0),IF(AC19&gt;AC18,1,0),IF(AD19&gt;AD18,1,0))))</f>
        <v/>
      </c>
      <c r="AB19" s="147"/>
      <c r="AC19" s="148"/>
      <c r="AD19" s="149"/>
      <c r="AE19" s="462"/>
      <c r="AG19" s="109">
        <f>$C$22</f>
        <v>10</v>
      </c>
      <c r="AH19" s="161"/>
      <c r="AI19" s="109">
        <f>$H$35</f>
        <v>26</v>
      </c>
      <c r="AJ19" s="161"/>
      <c r="AK19" s="130">
        <f>$W$74</f>
        <v>40</v>
      </c>
      <c r="AL19" s="163"/>
      <c r="AN19" s="334" t="s">
        <v>232</v>
      </c>
      <c r="AO19" s="322" t="str">
        <f>IF(R7="","",R7)</f>
        <v>C1</v>
      </c>
      <c r="AP19" s="322" t="str">
        <f>V7</f>
        <v/>
      </c>
      <c r="AQ19" s="335" t="str">
        <f>IF(AP19="","",(IF(T16="",0,T16)+IF(T22="",0,T22)+IF(T27="",0,T27))-(IF(T17="",0,T17)+IF(T23="",0,T23)+IF(T26="",0,T26)))</f>
        <v/>
      </c>
      <c r="AR19" s="322" t="str">
        <f>IF(AP19="","",(IF(T16="",0,SUM(U16:W16))+IF(T22="",0,SUM(U22:W22))+IF(T27="",0,SUM(U27:W27)))-(IF(T17="",0,SUM(U17:W17))+IF(T23="",0,SUM(U23:W23))+IF(T26="",0,SUM(U26:W26))))</f>
        <v/>
      </c>
      <c r="AS19" s="290"/>
      <c r="AT19" s="291"/>
      <c r="AU19" s="291"/>
      <c r="AV19" s="290"/>
      <c r="AW19" s="291"/>
      <c r="AX19" s="291"/>
      <c r="AY19" s="290"/>
    </row>
    <row r="20" spans="2:51" ht="15" customHeight="1" thickTop="1" thickBot="1">
      <c r="B20" s="126"/>
      <c r="C20" s="448">
        <v>9</v>
      </c>
      <c r="D20" s="450" t="str">
        <f>IF(OR(D9="",D10=""),"",D10)</f>
        <v>A4</v>
      </c>
      <c r="E20" s="450"/>
      <c r="F20" s="25" t="str">
        <f>IF(COUNT(G20:I20)&lt;1,"",IF(SUM(IF(G20&gt;G21,1,0),IF(H20&gt;H21,1,0),IF(I20&gt;I21,1,0))&gt;2,"??",SUM(IF(G20&gt;G21,1,0),IF(H20&gt;H21,1,0),IF(I20&gt;I21,1,0))))</f>
        <v/>
      </c>
      <c r="G20" s="150"/>
      <c r="H20" s="151"/>
      <c r="I20" s="152"/>
      <c r="J20" s="448">
        <v>11</v>
      </c>
      <c r="K20" s="450" t="str">
        <f>IF(OR(K9="",K10=""),"",K10)</f>
        <v>B4</v>
      </c>
      <c r="L20" s="450"/>
      <c r="M20" s="25" t="str">
        <f>IF(COUNT(N20:P20)&lt;1,"",IF(SUM(IF(N20&gt;N21,1,0),IF(O20&gt;O21,1,0),IF(P20&gt;P21,1,0))&gt;2,"??",SUM(IF(N20&gt;N21,1,0),IF(O20&gt;O21,1,0),IF(P20&gt;P21,1,0))))</f>
        <v/>
      </c>
      <c r="N20" s="150"/>
      <c r="O20" s="151"/>
      <c r="P20" s="152"/>
      <c r="Q20" s="448">
        <v>13</v>
      </c>
      <c r="R20" s="450" t="str">
        <f>IF(OR(R9="",R10=""),"",R10)</f>
        <v>C4</v>
      </c>
      <c r="S20" s="450"/>
      <c r="T20" s="25" t="str">
        <f>IF(COUNT(U20:W20)&lt;1,"",IF(SUM(IF(U20&gt;U21,1,0),IF(V20&gt;V21,1,0),IF(W20&gt;W21,1,0))&gt;2,"??",SUM(IF(U20&gt;U21,1,0),IF(V20&gt;V21,1,0),IF(W20&gt;W21,1,0))))</f>
        <v/>
      </c>
      <c r="U20" s="150"/>
      <c r="V20" s="151"/>
      <c r="W20" s="152"/>
      <c r="X20" s="448">
        <v>15</v>
      </c>
      <c r="Y20" s="450" t="str">
        <f>IF(OR(Y9="",Y10=""),"",Y10)</f>
        <v>D4</v>
      </c>
      <c r="Z20" s="450"/>
      <c r="AA20" s="25" t="str">
        <f>IF(COUNT(AB20:AD20)&lt;1,"",IF(SUM(IF(AB20&gt;AB21,1,0),IF(AC20&gt;AC21,1,0),IF(AD20&gt;AD21,1,0))&gt;2,"??",SUM(IF(AB20&gt;AB21,1,0),IF(AC20&gt;AC21,1,0),IF(AD20&gt;AD21,1,0))))</f>
        <v/>
      </c>
      <c r="AB20" s="150"/>
      <c r="AC20" s="151"/>
      <c r="AD20" s="152"/>
      <c r="AE20" s="442" t="s">
        <v>44</v>
      </c>
      <c r="AG20" s="109">
        <f>$J$20</f>
        <v>11</v>
      </c>
      <c r="AH20" s="161"/>
      <c r="AI20" s="109">
        <f>$H$39</f>
        <v>27</v>
      </c>
      <c r="AJ20" s="161"/>
      <c r="AK20" s="445" t="s">
        <v>246</v>
      </c>
      <c r="AL20" s="446"/>
      <c r="AN20" s="323" t="s">
        <v>233</v>
      </c>
      <c r="AO20" s="324" t="str">
        <f>IF(R8="","",R8)</f>
        <v>C2</v>
      </c>
      <c r="AP20" s="324" t="str">
        <f>V8</f>
        <v/>
      </c>
      <c r="AQ20" s="336" t="str">
        <f>IF(AP20="","",(IF(T18="",0,T18)+IF(T23="",0,T23)+IF(T24="",0,T24))-(IF(T19="",0,T19)+IF(T22="",0,T22)+IF(T25="",0,T25)))</f>
        <v/>
      </c>
      <c r="AR20" s="324" t="str">
        <f>IF(AP20="","",(IF(T18="",0,SUM(U18:W18))+IF(T23="",0,SUM(U23:W23))+IF(T24="",0,SUM(U24:W24)))-(IF(T19="",0,SUM(U19:W19))+IF(T22="",0,SUM(U22:W22))+IF(T25="",0,SUM(U25:W25))))</f>
        <v/>
      </c>
      <c r="AS20" s="290"/>
      <c r="AT20" s="291"/>
      <c r="AU20" s="291"/>
      <c r="AV20" s="290"/>
      <c r="AW20" s="291"/>
      <c r="AX20" s="291"/>
      <c r="AY20" s="290"/>
    </row>
    <row r="21" spans="2:51" ht="15" customHeight="1">
      <c r="B21" s="126"/>
      <c r="C21" s="449"/>
      <c r="D21" s="447" t="str">
        <f>IF(OR(D9="",D10=""),"",D9)</f>
        <v>A3</v>
      </c>
      <c r="E21" s="447"/>
      <c r="F21" s="26" t="str">
        <f>IF(COUNT(G21:I21)&lt;1,"",IF(SUM(IF(G21&gt;G20,1,0),IF(H21&gt;H20,1,0),IF(I21&gt;I20,1,0))&gt;2,"??",SUM(IF(G21&gt;G20,1,0),IF(H21&gt;H20,1,0),IF(I21&gt;I20,1,0))))</f>
        <v/>
      </c>
      <c r="G21" s="141"/>
      <c r="H21" s="142"/>
      <c r="I21" s="143"/>
      <c r="J21" s="449"/>
      <c r="K21" s="447" t="str">
        <f>IF(OR(K9="",K10=""),"",K9)</f>
        <v>B3</v>
      </c>
      <c r="L21" s="447"/>
      <c r="M21" s="26" t="str">
        <f>IF(COUNT(N21:P21)&lt;1,"",IF(SUM(IF(N21&gt;N20,1,0),IF(O21&gt;O20,1,0),IF(P21&gt;P20,1,0))&gt;2,"??",SUM(IF(N21&gt;N20,1,0),IF(O21&gt;O20,1,0),IF(P21&gt;P20,1,0))))</f>
        <v/>
      </c>
      <c r="N21" s="141"/>
      <c r="O21" s="142"/>
      <c r="P21" s="143"/>
      <c r="Q21" s="449"/>
      <c r="R21" s="447" t="str">
        <f>IF(OR(R9="",R10=""),"",R9)</f>
        <v>C3</v>
      </c>
      <c r="S21" s="447"/>
      <c r="T21" s="26" t="str">
        <f>IF(COUNT(U21:W21)&lt;1,"",IF(SUM(IF(U21&gt;U20,1,0),IF(V21&gt;V20,1,0),IF(W21&gt;W20,1,0))&gt;2,"??",SUM(IF(U21&gt;U20,1,0),IF(V21&gt;V20,1,0),IF(W21&gt;W20,1,0))))</f>
        <v/>
      </c>
      <c r="U21" s="141"/>
      <c r="V21" s="142"/>
      <c r="W21" s="143"/>
      <c r="X21" s="449"/>
      <c r="Y21" s="447" t="str">
        <f>IF(OR(Y9="",Y10=""),"",Y9)</f>
        <v>D3</v>
      </c>
      <c r="Z21" s="447"/>
      <c r="AA21" s="26" t="str">
        <f>IF(COUNT(AB21:AD21)&lt;1,"",IF(SUM(IF(AB21&gt;AB20,1,0),IF(AC21&gt;AC20,1,0),IF(AD21&gt;AD20,1,0))&gt;2,"??",SUM(IF(AB21&gt;AB20,1,0),IF(AC21&gt;AC20,1,0),IF(AD21&gt;AD20,1,0))))</f>
        <v/>
      </c>
      <c r="AB21" s="141"/>
      <c r="AC21" s="142"/>
      <c r="AD21" s="143"/>
      <c r="AE21" s="443"/>
      <c r="AG21" s="109">
        <f>$J$22</f>
        <v>12</v>
      </c>
      <c r="AH21" s="161"/>
      <c r="AI21" s="109">
        <f>$H$43</f>
        <v>28</v>
      </c>
      <c r="AJ21" s="161"/>
      <c r="AK21" s="159">
        <f>$O$88</f>
        <v>41</v>
      </c>
      <c r="AL21" s="160"/>
      <c r="AN21" s="323" t="s">
        <v>234</v>
      </c>
      <c r="AO21" s="324" t="str">
        <f>IF(R9="","",R9)</f>
        <v>C3</v>
      </c>
      <c r="AP21" s="324" t="str">
        <f>V9</f>
        <v/>
      </c>
      <c r="AQ21" s="336" t="str">
        <f>IF(AP21="","",(IF(T19="",0,T19)+IF(T21="",0,T21)+IF(T26="",0,T26))-(IF(T18="",0,T18)+IF(T20="",0,T20)+IF(T27="",0,T27)))</f>
        <v/>
      </c>
      <c r="AR21" s="324" t="str">
        <f>IF(AP21="","",(IF(T19="",0,SUM(U19:W19))+IF(T21="",0,SUM(U21:W21))+IF(T26="",0,SUM(U26:W26)))-(IF(T18="",0,SUM(U18:W18))+IF(T20="",0,SUM(U20:W20))+IF(T27="",0,SUM(U27:W27))))</f>
        <v/>
      </c>
      <c r="AS21" s="290"/>
      <c r="AT21" s="291"/>
      <c r="AU21" s="291"/>
      <c r="AV21" s="290"/>
      <c r="AW21" s="291"/>
      <c r="AX21" s="291"/>
      <c r="AY21" s="290"/>
    </row>
    <row r="22" spans="2:51" ht="15" customHeight="1">
      <c r="B22" s="126"/>
      <c r="C22" s="438">
        <v>10</v>
      </c>
      <c r="D22" s="440" t="str">
        <f>IF(OR(D7="",D8=""),"",D7)</f>
        <v>Manuel P/Margarida C (AE Sertã)</v>
      </c>
      <c r="E22" s="440"/>
      <c r="F22" s="27" t="str">
        <f>IF(COUNT(G22:I22)&lt;1,"",IF(SUM(IF(G22&gt;G23,1,0),IF(H22&gt;H23,1,0),IF(I22&gt;I23,1,0))&gt;2,"??",SUM(IF(G22&gt;G23,1,0),IF(H22&gt;H23,1,0),IF(I22&gt;I23,1,0))))</f>
        <v/>
      </c>
      <c r="G22" s="144"/>
      <c r="H22" s="145"/>
      <c r="I22" s="146"/>
      <c r="J22" s="438">
        <v>12</v>
      </c>
      <c r="K22" s="440" t="str">
        <f>IF(OR(K7="",K8=""),"",K7)</f>
        <v>B1</v>
      </c>
      <c r="L22" s="440"/>
      <c r="M22" s="27" t="str">
        <f>IF(COUNT(N22:P22)&lt;1,"",IF(SUM(IF(N22&gt;N23,1,0),IF(O22&gt;O23,1,0),IF(P22&gt;P23,1,0))&gt;2,"??",SUM(IF(N22&gt;N23,1,0),IF(O22&gt;O23,1,0),IF(P22&gt;P23,1,0))))</f>
        <v/>
      </c>
      <c r="N22" s="144"/>
      <c r="O22" s="145"/>
      <c r="P22" s="146"/>
      <c r="Q22" s="438">
        <v>14</v>
      </c>
      <c r="R22" s="440" t="str">
        <f>IF(OR(R7="",R8=""),"",R7)</f>
        <v>C1</v>
      </c>
      <c r="S22" s="440"/>
      <c r="T22" s="27" t="str">
        <f>IF(COUNT(U22:W22)&lt;1,"",IF(SUM(IF(U22&gt;U23,1,0),IF(V22&gt;V23,1,0),IF(W22&gt;W23,1,0))&gt;2,"??",SUM(IF(U22&gt;U23,1,0),IF(V22&gt;V23,1,0),IF(W22&gt;W23,1,0))))</f>
        <v/>
      </c>
      <c r="U22" s="144"/>
      <c r="V22" s="145"/>
      <c r="W22" s="146"/>
      <c r="X22" s="438">
        <v>16</v>
      </c>
      <c r="Y22" s="440" t="str">
        <f>IF(OR(Y7="",Y8=""),"",Y7)</f>
        <v>D1</v>
      </c>
      <c r="Z22" s="440"/>
      <c r="AA22" s="27" t="str">
        <f>IF(COUNT(AB22:AD22)&lt;1,"",IF(SUM(IF(AB22&gt;AB23,1,0),IF(AC22&gt;AC23,1,0),IF(AD22&gt;AD23,1,0))&gt;2,"??",SUM(IF(AB22&gt;AB23,1,0),IF(AC22&gt;AC23,1,0),IF(AD22&gt;AD23,1,0))))</f>
        <v/>
      </c>
      <c r="AB22" s="144"/>
      <c r="AC22" s="145"/>
      <c r="AD22" s="146"/>
      <c r="AE22" s="443"/>
      <c r="AG22" s="109">
        <f>$Q$20</f>
        <v>13</v>
      </c>
      <c r="AH22" s="161"/>
      <c r="AI22" s="109">
        <f>$O$33</f>
        <v>29</v>
      </c>
      <c r="AJ22" s="161"/>
      <c r="AK22" s="109">
        <f>$O$96</f>
        <v>42</v>
      </c>
      <c r="AL22" s="161"/>
      <c r="AN22" s="337" t="s">
        <v>235</v>
      </c>
      <c r="AO22" s="326" t="str">
        <f>IF(R10="","",R10)</f>
        <v>C4</v>
      </c>
      <c r="AP22" s="326" t="str">
        <f>V10</f>
        <v/>
      </c>
      <c r="AQ22" s="338" t="str">
        <f>IF(AP22="","",(IF(T17="",0,T17)+IF(T20="",0,T20)+IF(T25="",0,T25))-(IF(T16="",0,T16)+IF(T21="",0,T21)+IF(T24="",0,T24)))</f>
        <v/>
      </c>
      <c r="AR22" s="326" t="str">
        <f>IF(AP22="","",(IF(T17="",0,SUM(U17:W17))+IF(T20="",0,SUM(U20:W20))+IF(T25="",0,SUM(U25:W25)))-(IF(T16="",0,SUM(U16:W16))+IF(T21="",0,SUM(U21:W21))+IF(T24="",0,SUM(U24:W24))))</f>
        <v/>
      </c>
      <c r="AS22" s="290"/>
      <c r="AT22" s="291"/>
      <c r="AU22" s="291"/>
      <c r="AV22" s="290"/>
      <c r="AW22" s="291"/>
      <c r="AX22" s="291"/>
      <c r="AY22" s="290"/>
    </row>
    <row r="23" spans="2:51" ht="15" customHeight="1" thickBot="1">
      <c r="B23" s="126"/>
      <c r="C23" s="439"/>
      <c r="D23" s="441" t="str">
        <f>IF(OR(D7="",D8=""),"",D8)</f>
        <v>A2</v>
      </c>
      <c r="E23" s="441"/>
      <c r="F23" s="28" t="str">
        <f>IF(COUNT(G23:I23)&lt;1,"",IF(SUM(IF(G23&gt;G22,1,0),IF(H23&gt;H22,1,0),IF(I23&gt;I22,1,0))&gt;2,"??",SUM(IF(G23&gt;G22,1,0),IF(H23&gt;H22,1,0),IF(I23&gt;I22,1,0))))</f>
        <v/>
      </c>
      <c r="G23" s="153"/>
      <c r="H23" s="154"/>
      <c r="I23" s="155"/>
      <c r="J23" s="439"/>
      <c r="K23" s="441" t="str">
        <f>IF(OR(K7="",K8=""),"",K8)</f>
        <v>B2</v>
      </c>
      <c r="L23" s="441"/>
      <c r="M23" s="28" t="str">
        <f>IF(COUNT(N23:P23)&lt;1,"",IF(SUM(IF(N23&gt;N22,1,0),IF(O23&gt;O22,1,0),IF(P23&gt;P22,1,0))&gt;2,"??",SUM(IF(N23&gt;N22,1,0),IF(O23&gt;O22,1,0),IF(P23&gt;P22,1,0))))</f>
        <v/>
      </c>
      <c r="N23" s="153"/>
      <c r="O23" s="154"/>
      <c r="P23" s="155"/>
      <c r="Q23" s="439"/>
      <c r="R23" s="441" t="str">
        <f>IF(OR(R7="",R8=""),"",R8)</f>
        <v>C2</v>
      </c>
      <c r="S23" s="441"/>
      <c r="T23" s="28" t="str">
        <f>IF(COUNT(U23:W23)&lt;1,"",IF(SUM(IF(U23&gt;U22,1,0),IF(V23&gt;V22,1,0),IF(W23&gt;W22,1,0))&gt;2,"??",SUM(IF(U23&gt;U22,1,0),IF(V23&gt;V22,1,0),IF(W23&gt;W22,1,0))))</f>
        <v/>
      </c>
      <c r="U23" s="153"/>
      <c r="V23" s="154"/>
      <c r="W23" s="155"/>
      <c r="X23" s="439"/>
      <c r="Y23" s="441" t="str">
        <f>IF(OR(Y7="",Y8=""),"",Y8)</f>
        <v>D2</v>
      </c>
      <c r="Z23" s="441"/>
      <c r="AA23" s="28" t="str">
        <f>IF(COUNT(AB23:AD23)&lt;1,"",IF(SUM(IF(AB23&gt;AB22,1,0),IF(AC23&gt;AC22,1,0),IF(AD23&gt;AD22,1,0))&gt;2,"??",SUM(IF(AB23&gt;AB22,1,0),IF(AC23&gt;AC22,1,0),IF(AD23&gt;AD22,1,0))))</f>
        <v/>
      </c>
      <c r="AB23" s="153"/>
      <c r="AC23" s="154"/>
      <c r="AD23" s="155"/>
      <c r="AE23" s="444"/>
      <c r="AG23" s="109">
        <f>$Q$22</f>
        <v>14</v>
      </c>
      <c r="AH23" s="161"/>
      <c r="AI23" s="109">
        <f>$O$41</f>
        <v>30</v>
      </c>
      <c r="AJ23" s="161"/>
      <c r="AK23" s="109">
        <f>$V$92</f>
        <v>43</v>
      </c>
      <c r="AL23" s="161"/>
      <c r="AN23" s="339" t="s">
        <v>236</v>
      </c>
      <c r="AO23" s="328" t="str">
        <f>IF(Y7="","",Y7)</f>
        <v>D1</v>
      </c>
      <c r="AP23" s="329" t="str">
        <f>AC7</f>
        <v/>
      </c>
      <c r="AQ23" s="329" t="str">
        <f>IF(AP23="","",(IF(AA16="",0,AA16)+IF(AA22="",0,AA22)+IF(AA27="",0,AA27))-(IF(AA17="",0,AA17)+IF(AA23="",0,AA23)+IF(AA26="",0,AA26)))</f>
        <v/>
      </c>
      <c r="AR23" s="329" t="str">
        <f>IF(AP23="","",(IF(AA16="",0,SUM(AB16:AD16))+IF(AA22="",0,SUM(AB22:AD22))+IF(AA27="",0,SUM(AB27:AD27)))-(IF(AA17="",0,SUM(AB17:AD17))+IF(AA23="",0,SUM(AB23:AD23))+IF(AA26="",0,SUM(AB26:AD26))))</f>
        <v/>
      </c>
      <c r="AS23" s="290"/>
      <c r="AT23" s="291"/>
      <c r="AU23" s="291"/>
      <c r="AV23" s="290"/>
      <c r="AW23" s="291"/>
      <c r="AX23" s="291"/>
      <c r="AY23" s="290"/>
    </row>
    <row r="24" spans="2:51" ht="15" customHeight="1" thickTop="1" thickBot="1">
      <c r="B24" s="126"/>
      <c r="C24" s="431">
        <v>17</v>
      </c>
      <c r="D24" s="433" t="str">
        <f>IF(OR(D8="",D10=""),"",D8)</f>
        <v>A2</v>
      </c>
      <c r="E24" s="433"/>
      <c r="F24" s="22" t="str">
        <f>IF(COUNT(G24:I24)&lt;1,"",IF(SUM(IF(G24&gt;G25,1,0),IF(H24&gt;H25,1,0),IF(I24&gt;I25,1,0))&gt;2,"??",SUM(IF(G24&gt;G25,1,0),IF(H24&gt;H25,1,0),IF(I24&gt;I25,1,0))))</f>
        <v/>
      </c>
      <c r="G24" s="141"/>
      <c r="H24" s="142"/>
      <c r="I24" s="143"/>
      <c r="J24" s="431">
        <v>19</v>
      </c>
      <c r="K24" s="433" t="str">
        <f>IF(OR(K8="",K10=""),"",K8)</f>
        <v>B2</v>
      </c>
      <c r="L24" s="433"/>
      <c r="M24" s="22" t="str">
        <f>IF(COUNT(N24:P24)&lt;1,"",IF(SUM(IF(N24&gt;N25,1,0),IF(O24&gt;O25,1,0),IF(P24&gt;P25,1,0))&gt;2,"??",SUM(IF(N24&gt;N25,1,0),IF(O24&gt;O25,1,0),IF(P24&gt;P25,1,0))))</f>
        <v/>
      </c>
      <c r="N24" s="141"/>
      <c r="O24" s="142"/>
      <c r="P24" s="143"/>
      <c r="Q24" s="431">
        <v>21</v>
      </c>
      <c r="R24" s="433" t="str">
        <f>IF(OR(R8="",R10=""),"",R8)</f>
        <v>C2</v>
      </c>
      <c r="S24" s="433"/>
      <c r="T24" s="22" t="str">
        <f>IF(COUNT(U24:W24)&lt;1,"",IF(SUM(IF(U24&gt;U25,1,0),IF(V24&gt;V25,1,0),IF(W24&gt;W25,1,0))&gt;2,"??",SUM(IF(U24&gt;U25,1,0),IF(V24&gt;V25,1,0),IF(W24&gt;W25,1,0))))</f>
        <v/>
      </c>
      <c r="U24" s="141"/>
      <c r="V24" s="142"/>
      <c r="W24" s="143"/>
      <c r="X24" s="431">
        <v>23</v>
      </c>
      <c r="Y24" s="433" t="str">
        <f>IF(OR(Y8="",Y10=""),"",Y8)</f>
        <v>D2</v>
      </c>
      <c r="Z24" s="433"/>
      <c r="AA24" s="22" t="str">
        <f>IF(COUNT(AB24:AD24)&lt;1,"",IF(SUM(IF(AB24&gt;AB25,1,0),IF(AC24&gt;AC25,1,0),IF(AD24&gt;AD25,1,0))&gt;2,"??",SUM(IF(AB24&gt;AB25,1,0),IF(AC24&gt;AC25,1,0),IF(AD24&gt;AD25,1,0))))</f>
        <v/>
      </c>
      <c r="AB24" s="141"/>
      <c r="AC24" s="142"/>
      <c r="AD24" s="143"/>
      <c r="AE24" s="434" t="s">
        <v>45</v>
      </c>
      <c r="AG24" s="109">
        <f>$X$20</f>
        <v>15</v>
      </c>
      <c r="AH24" s="161"/>
      <c r="AI24" s="109">
        <f>$V$37</f>
        <v>31</v>
      </c>
      <c r="AJ24" s="161"/>
      <c r="AK24" s="130">
        <f>$W$92</f>
        <v>44</v>
      </c>
      <c r="AL24" s="163"/>
      <c r="AN24" s="330" t="s">
        <v>237</v>
      </c>
      <c r="AO24" s="328" t="str">
        <f>IF(Y8="","",Y8)</f>
        <v>D2</v>
      </c>
      <c r="AP24" s="331" t="str">
        <f>AC8</f>
        <v/>
      </c>
      <c r="AQ24" s="331" t="str">
        <f>IF(AP24="","",(IF(AA18="",0,AA18)+IF(AA23="",0,AA23)+IF(AA24="",0,AA24))-(IF(AA19="",0,AA19)+IF(AA22="",0,AA22)+IF(AA25="",0,AA25)))</f>
        <v/>
      </c>
      <c r="AR24" s="331" t="str">
        <f>IF(AP24="","",(IF(AA18="",0,SUM(AB18:AD18))+IF(AA23="",0,SUM(AB23:AD23))+IF(AA24="",0,SUM(AB24:AD24)))-(IF(AA19="",0,SUM(AB19:AD19))+IF(AA22="",0,SUM(AB22:AD22))+IF(AA25="",0,SUM(AB25:AD25))))</f>
        <v/>
      </c>
      <c r="AS24" s="290"/>
      <c r="AT24" s="291"/>
      <c r="AU24" s="291"/>
      <c r="AV24" s="290"/>
      <c r="AW24" s="291"/>
      <c r="AX24" s="291"/>
      <c r="AY24" s="290"/>
    </row>
    <row r="25" spans="2:51" ht="15" customHeight="1" thickBot="1">
      <c r="B25" s="126"/>
      <c r="C25" s="432"/>
      <c r="D25" s="437" t="str">
        <f>IF(OR(D8="",D10=""),"",D10)</f>
        <v>A4</v>
      </c>
      <c r="E25" s="437"/>
      <c r="F25" s="22" t="str">
        <f>IF(COUNT(G25:I25)&lt;1,"",IF(SUM(IF(G25&gt;G24,1,0),IF(H25&gt;H24,1,0),IF(I25&gt;I24,1,0))&gt;2,"??",SUM(IF(G25&gt;G24,1,0),IF(H25&gt;H24,1,0),IF(I25&gt;I24,1,0))))</f>
        <v/>
      </c>
      <c r="G25" s="141"/>
      <c r="H25" s="142"/>
      <c r="I25" s="143"/>
      <c r="J25" s="432"/>
      <c r="K25" s="437" t="str">
        <f>IF(OR(K8="",K10=""),"",K10)</f>
        <v>B4</v>
      </c>
      <c r="L25" s="437"/>
      <c r="M25" s="22" t="str">
        <f>IF(COUNT(N25:P25)&lt;1,"",IF(SUM(IF(N25&gt;N24,1,0),IF(O25&gt;O24,1,0),IF(P25&gt;P24,1,0))&gt;2,"??",SUM(IF(N25&gt;N24,1,0),IF(O25&gt;O24,1,0),IF(P25&gt;P24,1,0))))</f>
        <v/>
      </c>
      <c r="N25" s="141"/>
      <c r="O25" s="142"/>
      <c r="P25" s="143"/>
      <c r="Q25" s="432"/>
      <c r="R25" s="437" t="str">
        <f>IF(OR(R8="",R10=""),"",R10)</f>
        <v>C4</v>
      </c>
      <c r="S25" s="437"/>
      <c r="T25" s="22" t="str">
        <f>IF(COUNT(U25:W25)&lt;1,"",IF(SUM(IF(U25&gt;U24,1,0),IF(V25&gt;V24,1,0),IF(W25&gt;W24,1,0))&gt;2,"??",SUM(IF(U25&gt;U24,1,0),IF(V25&gt;V24,1,0),IF(W25&gt;W24,1,0))))</f>
        <v/>
      </c>
      <c r="U25" s="141"/>
      <c r="V25" s="142"/>
      <c r="W25" s="143"/>
      <c r="X25" s="432"/>
      <c r="Y25" s="437" t="str">
        <f>IF(OR(Y8="",Y10=""),"",Y10)</f>
        <v>D4</v>
      </c>
      <c r="Z25" s="437"/>
      <c r="AA25" s="22" t="str">
        <f>IF(COUNT(AB25:AD25)&lt;1,"",IF(SUM(IF(AB25&gt;AB24,1,0),IF(AC25&gt;AC24,1,0),IF(AD25&gt;AD24,1,0))&gt;2,"??",SUM(IF(AB25&gt;AB24,1,0),IF(AC25&gt;AC24,1,0),IF(AD25&gt;AD24,1,0))))</f>
        <v/>
      </c>
      <c r="AB25" s="141"/>
      <c r="AC25" s="142"/>
      <c r="AD25" s="143"/>
      <c r="AE25" s="435"/>
      <c r="AG25" s="130">
        <f>$X$22</f>
        <v>16</v>
      </c>
      <c r="AH25" s="163"/>
      <c r="AI25" s="130">
        <f>$W$37</f>
        <v>32</v>
      </c>
      <c r="AJ25" s="163"/>
      <c r="AK25" s="159"/>
      <c r="AL25" s="240"/>
      <c r="AN25" s="330" t="s">
        <v>239</v>
      </c>
      <c r="AO25" s="328" t="str">
        <f>IF(Y9="","",Y9)</f>
        <v>D3</v>
      </c>
      <c r="AP25" s="331" t="str">
        <f>AC9</f>
        <v/>
      </c>
      <c r="AQ25" s="331" t="str">
        <f>IF(AP25="","",(IF(AA19="",0,AA19)+IF(AA21="",0,AA21)+IF(AA26="",0,AA26))-(IF(AA18="",0,AA18)+IF(AA20="",0,AA20)+IF(AA27="",0,AA27)))</f>
        <v/>
      </c>
      <c r="AR25" s="331" t="str">
        <f>IF(AP25="","",(IF(AA19="",0,SUM(AB19:AD19))+IF(AA21="",0,SUM(AB21:AD21))+IF(AA26="",0,SUM(AB26:AD26)))-(IF(AA18="",0,SUM(AB18:AD18))+IF(AA20="",0,SUM(AB20:AD20))+IF(AA27="",0,SUM(AB27:AD27))))</f>
        <v/>
      </c>
      <c r="AS25" s="290"/>
      <c r="AT25" s="291"/>
      <c r="AU25" s="291"/>
      <c r="AV25" s="290"/>
      <c r="AW25" s="291"/>
      <c r="AX25" s="291"/>
      <c r="AY25" s="290"/>
    </row>
    <row r="26" spans="2:51" ht="15" customHeight="1" thickBot="1">
      <c r="B26" s="126"/>
      <c r="C26" s="428">
        <v>18</v>
      </c>
      <c r="D26" s="430" t="str">
        <f>IF(OR(D7="",D9=""),"",D9)</f>
        <v>A3</v>
      </c>
      <c r="E26" s="430"/>
      <c r="F26" s="23" t="str">
        <f>IF(COUNT(G26:I26)&lt;1,"",IF(SUM(IF(G26&gt;G27,1,0),IF(H26&gt;H27,1,0),IF(I26&gt;I27,1,0))&gt;2,"??",SUM(IF(G26&gt;G27,1,0),IF(H26&gt;H27,1,0),IF(I26&gt;I27,1,0))))</f>
        <v/>
      </c>
      <c r="G26" s="144"/>
      <c r="H26" s="145"/>
      <c r="I26" s="146"/>
      <c r="J26" s="428">
        <v>20</v>
      </c>
      <c r="K26" s="430" t="str">
        <f>IF(OR(K7="",K9=""),"",K9)</f>
        <v>B3</v>
      </c>
      <c r="L26" s="430"/>
      <c r="M26" s="23" t="str">
        <f>IF(COUNT(N26:P26)&lt;1,"",IF(SUM(IF(N26&gt;N27,1,0),IF(O26&gt;O27,1,0),IF(P26&gt;P27,1,0))&gt;2,"??",SUM(IF(N26&gt;N27,1,0),IF(O26&gt;O27,1,0),IF(P26&gt;P27,1,0))))</f>
        <v/>
      </c>
      <c r="N26" s="144"/>
      <c r="O26" s="145"/>
      <c r="P26" s="146"/>
      <c r="Q26" s="428">
        <v>22</v>
      </c>
      <c r="R26" s="430" t="str">
        <f>IF(OR(R7="",R9=""),"",R9)</f>
        <v>C3</v>
      </c>
      <c r="S26" s="430"/>
      <c r="T26" s="23" t="str">
        <f>IF(COUNT(U26:W26)&lt;1,"",IF(SUM(IF(U26&gt;U27,1,0),IF(V26&gt;V27,1,0),IF(W26&gt;W27,1,0))&gt;2,"??",SUM(IF(U26&gt;U27,1,0),IF(V26&gt;V27,1,0),IF(W26&gt;W27,1,0))))</f>
        <v/>
      </c>
      <c r="U26" s="144"/>
      <c r="V26" s="145"/>
      <c r="W26" s="146"/>
      <c r="X26" s="428">
        <v>24</v>
      </c>
      <c r="Y26" s="430" t="str">
        <f>IF(OR(Y7="",Y9=""),"",Y9)</f>
        <v>D3</v>
      </c>
      <c r="Z26" s="430"/>
      <c r="AA26" s="23" t="str">
        <f>IF(COUNT(AB26:AD26)&lt;1,"",IF(SUM(IF(AB26&gt;AB27,1,0),IF(AC26&gt;AC27,1,0),IF(AD26&gt;AD27,1,0))&gt;2,"??",SUM(IF(AB26&gt;AB27,1,0),IF(AC26&gt;AC27,1,0),IF(AD26&gt;AD27,1,0))))</f>
        <v/>
      </c>
      <c r="AB26" s="144"/>
      <c r="AC26" s="145"/>
      <c r="AD26" s="146"/>
      <c r="AE26" s="435"/>
      <c r="AG26" s="417" t="s">
        <v>247</v>
      </c>
      <c r="AH26" s="417"/>
      <c r="AI26" s="417" t="s">
        <v>248</v>
      </c>
      <c r="AJ26" s="417"/>
      <c r="AN26" s="340" t="s">
        <v>238</v>
      </c>
      <c r="AO26" s="341" t="str">
        <f>IF(Y10="","",Y10)</f>
        <v>D4</v>
      </c>
      <c r="AP26" s="341" t="str">
        <f>AC10</f>
        <v/>
      </c>
      <c r="AQ26" s="341" t="str">
        <f>IF(AP26="","",(IF(AA17="",0,AA17)+IF(AA20="",0,AA20)+IF(AA25="",0,AA25))-(IF(AA16="",0,AA16)+IF(AA21="",0,AA21)+IF(AA24="",0,AA24)))</f>
        <v/>
      </c>
      <c r="AR26" s="341" t="str">
        <f>IF(AP26="","",(IF(AA17="",0,SUM(AB17:AD17))+IF(AA20="",0,SUM(AB20:AD20))+IF(AA25="",0,SUM(AB25:AD25)))-(IF(AA16="",0,SUM(AB16:AD16))+IF(AA21="",0,SUM(AB21:AD21))+IF(AA24="",0,SUM(AB24:AD24))))</f>
        <v/>
      </c>
      <c r="AS26" s="290"/>
      <c r="AT26" s="291"/>
      <c r="AU26" s="291"/>
      <c r="AV26" s="290"/>
      <c r="AW26" s="291"/>
      <c r="AX26" s="291"/>
      <c r="AY26" s="290"/>
    </row>
    <row r="27" spans="2:51" ht="15" customHeight="1" thickBot="1">
      <c r="B27" s="126"/>
      <c r="C27" s="429"/>
      <c r="D27" s="418" t="str">
        <f>IF(OR(D7="",D9=""),"",D7)</f>
        <v>Manuel P/Margarida C (AE Sertã)</v>
      </c>
      <c r="E27" s="418"/>
      <c r="F27" s="29" t="str">
        <f>IF(COUNT(G27:I27)&lt;1,"",IF(SUM(IF(G27&gt;G26,1,0),IF(H27&gt;H26,1,0),IF(I27&gt;I26,1,0))&gt;2,"??",SUM(IF(G27&gt;G26,1,0),IF(H27&gt;H26,1,0),IF(I27&gt;I26,1,0))))</f>
        <v/>
      </c>
      <c r="G27" s="156"/>
      <c r="H27" s="157"/>
      <c r="I27" s="158"/>
      <c r="J27" s="429"/>
      <c r="K27" s="418" t="str">
        <f>IF(OR(K7="",K9=""),"",K7)</f>
        <v>B1</v>
      </c>
      <c r="L27" s="418"/>
      <c r="M27" s="29" t="str">
        <f>IF(COUNT(N27:P27)&lt;1,"",IF(SUM(IF(N27&gt;N26,1,0),IF(O27&gt;O26,1,0),IF(P27&gt;P26,1,0))&gt;2,"??",SUM(IF(N27&gt;N26,1,0),IF(O27&gt;O26,1,0),IF(P27&gt;P26,1,0))))</f>
        <v/>
      </c>
      <c r="N27" s="156"/>
      <c r="O27" s="157"/>
      <c r="P27" s="158"/>
      <c r="Q27" s="429"/>
      <c r="R27" s="418" t="str">
        <f>IF(OR(R7="",R9=""),"",R7)</f>
        <v>C1</v>
      </c>
      <c r="S27" s="418"/>
      <c r="T27" s="29" t="str">
        <f>IF(COUNT(U27:W27)&lt;1,"",IF(SUM(IF(U27&gt;U26,1,0),IF(V27&gt;V26,1,0),IF(W27&gt;W26,1,0))&gt;2,"??",SUM(IF(U27&gt;U26,1,0),IF(V27&gt;V26,1,0),IF(W27&gt;W26,1,0))))</f>
        <v/>
      </c>
      <c r="U27" s="156"/>
      <c r="V27" s="157"/>
      <c r="W27" s="158"/>
      <c r="X27" s="429"/>
      <c r="Y27" s="418" t="str">
        <f>IF(OR(Y7="",Y9=""),"",Y7)</f>
        <v>D1</v>
      </c>
      <c r="Z27" s="418"/>
      <c r="AA27" s="29" t="str">
        <f>IF(COUNT(AB27:AD27)&lt;1,"",IF(SUM(IF(AB27&gt;AB26,1,0),IF(AC27&gt;AC26,1,0),IF(AD27&gt;AD26,1,0))&gt;2,"??",SUM(IF(AB27&gt;AB26,1,0),IF(AC27&gt;AC26,1,0),IF(AD27&gt;AD26,1,0))))</f>
        <v/>
      </c>
      <c r="AB27" s="156"/>
      <c r="AC27" s="157"/>
      <c r="AD27" s="158"/>
      <c r="AE27" s="436"/>
      <c r="AG27" s="419">
        <v>1</v>
      </c>
      <c r="AH27" s="420"/>
      <c r="AI27" s="423">
        <v>4</v>
      </c>
      <c r="AJ27" s="424"/>
      <c r="AN27" s="292"/>
      <c r="AO27" s="293"/>
      <c r="AP27" s="342"/>
      <c r="AQ27" s="342"/>
      <c r="AR27" s="342"/>
      <c r="AS27" s="290"/>
      <c r="AT27" s="291"/>
      <c r="AU27" s="291"/>
      <c r="AV27" s="290"/>
      <c r="AW27" s="291"/>
      <c r="AX27" s="291"/>
      <c r="AY27" s="290"/>
    </row>
    <row r="28" spans="2:51" ht="15.75" customHeight="1" thickBot="1">
      <c r="B28" s="126"/>
      <c r="C28" s="427"/>
      <c r="D28" s="427"/>
      <c r="E28" s="427"/>
      <c r="F28" s="427"/>
      <c r="G28" s="427"/>
      <c r="H28" s="427"/>
      <c r="I28" s="427"/>
      <c r="J28" s="427"/>
      <c r="K28" s="427"/>
      <c r="L28" s="427"/>
      <c r="M28" s="427"/>
      <c r="N28" s="427"/>
      <c r="O28" s="427"/>
      <c r="P28" s="427"/>
      <c r="Q28" s="30"/>
      <c r="R28" s="31"/>
      <c r="S28" s="32"/>
      <c r="T28" s="33"/>
      <c r="U28" s="32"/>
      <c r="V28" s="32"/>
      <c r="W28" s="32"/>
      <c r="X28" s="30"/>
      <c r="Y28" s="31"/>
      <c r="Z28" s="32"/>
      <c r="AA28" s="33"/>
      <c r="AB28" s="32"/>
      <c r="AC28" s="32"/>
      <c r="AD28" s="32"/>
      <c r="AE28" s="113"/>
      <c r="AG28" s="421"/>
      <c r="AH28" s="422"/>
      <c r="AI28" s="425"/>
      <c r="AJ28" s="426"/>
      <c r="AN28" s="292"/>
      <c r="AO28" s="343" t="s">
        <v>425</v>
      </c>
      <c r="AP28" s="344" t="str">
        <f>IF(COUNT(AP11:AP26)=0,"",IF(SUM(AP11:AP26)=SUM(H7:H10,O7:O10,V7:V10,AC7:AC10),"OK","??"))</f>
        <v>OK</v>
      </c>
      <c r="AQ28" s="344" t="str">
        <f>IF(COUNT(AQ11:AQ26)=0,"",IF(SUM(IF(AQ11="",0,AQ11),IF(AQ12="",0,AQ12),IF(AQ13="",0,AQ13),IF(AQ14="",0,AQ14),IF(AQ15="",0,AQ15),IF(AQ16="",0,AQ16),IF(AQ17="",0,AQ17),IF(AQ18="",0,AQ18),IF(AQ19="",0,AQ19),IF(AQ20="",0,AQ20),IF(AQ21="",0,AQ21),IF(AQ22="",0,AQ22),IF(AQ23="",0,AQ23),IF(AQ24="",0,AQ24),IF(AQ25="",0,AQ25),IF(AQ26="",0,AQ26))=0,"OK","??"))</f>
        <v>OK</v>
      </c>
      <c r="AR28" s="344" t="str">
        <f>IF(COUNT(AR11:AR26)=0,"",IF(SUM(IF(AR11="",0,AR11),IF(AR12="",0,AR12),IF(AR13="",0,AR13),IF(AR14="",0,AR14),IF(AR15="",0,AR15),IF(AR16="",0,AR16),IF(AR17="",0,AR17),IF(AR18="",0,AR18),IF(AR19="",0,AR19),IF(AR20="",0,AR20),IF(AR21="",0,AR21),IF(AR22="",0,AR22),IF(AR23="",0,AR23),IF(AR24="",0,AR24),IF(AR25="",0,AR25),IF(AR26="",0,AR26))=0,"OK","??"))</f>
        <v>OK</v>
      </c>
      <c r="AS28" s="290"/>
      <c r="AT28" s="291"/>
      <c r="AU28" s="291"/>
      <c r="AV28" s="290"/>
      <c r="AW28" s="291"/>
      <c r="AX28" s="291"/>
      <c r="AY28" s="290"/>
    </row>
    <row r="29" spans="2:51" ht="15" customHeight="1">
      <c r="B29" s="125"/>
      <c r="C29" s="167"/>
      <c r="D29" s="61"/>
      <c r="E29" s="61"/>
      <c r="F29" s="167"/>
      <c r="G29" s="167"/>
      <c r="H29" s="167"/>
      <c r="I29" s="61"/>
      <c r="J29" s="167"/>
      <c r="K29" s="183"/>
      <c r="L29" s="61"/>
      <c r="M29" s="61"/>
      <c r="N29" s="61"/>
      <c r="O29" s="61"/>
      <c r="P29" s="61"/>
      <c r="Q29" s="167"/>
      <c r="R29" s="61"/>
      <c r="S29" s="61"/>
      <c r="T29" s="61"/>
      <c r="U29" s="61"/>
      <c r="V29" s="61"/>
      <c r="W29" s="61"/>
      <c r="X29" s="167"/>
      <c r="Y29" s="389" t="s">
        <v>0</v>
      </c>
      <c r="Z29" s="390"/>
      <c r="AA29" s="390"/>
      <c r="AB29" s="390"/>
      <c r="AC29" s="390"/>
      <c r="AD29" s="391"/>
      <c r="AE29" s="3"/>
      <c r="AG29" s="409" t="s">
        <v>46</v>
      </c>
      <c r="AH29" s="409"/>
      <c r="AI29" s="409"/>
      <c r="AJ29" s="409"/>
      <c r="AN29" s="292"/>
      <c r="AO29" s="293"/>
      <c r="AP29" s="398"/>
      <c r="AQ29" s="398"/>
      <c r="AR29" s="398"/>
      <c r="AS29" s="290"/>
      <c r="AT29" s="291"/>
      <c r="AU29" s="291"/>
      <c r="AV29" s="290"/>
      <c r="AW29" s="291"/>
      <c r="AX29" s="291"/>
      <c r="AY29" s="290"/>
    </row>
    <row r="30" spans="2:51" ht="15.75" customHeight="1" thickBot="1">
      <c r="B30" s="126"/>
      <c r="C30" s="369" t="str">
        <f>IF(D12="","1º do grupo A",D12)</f>
        <v>Manuel P/Margarida C (AE Sertã)</v>
      </c>
      <c r="D30" s="370"/>
      <c r="E30" s="69"/>
      <c r="F30" s="69"/>
      <c r="G30" s="70"/>
      <c r="H30" s="35" t="str">
        <f>IF(COUNT(E30:G30)&lt;1,"",IF(SUM(IF(E30&gt;E32,1,0),IF(F30&gt;F32,1,0),IF(G30&gt;G32,1,0))&gt;2,"??",SUM(IF(E30&gt;E32,1,0),IF(F30&gt;F32,1,0),IF(G30&gt;G32,1,0))))</f>
        <v/>
      </c>
      <c r="I30" s="36"/>
      <c r="J30" s="40"/>
      <c r="K30" s="55"/>
      <c r="L30" s="55"/>
      <c r="M30" s="55"/>
      <c r="N30" s="55"/>
      <c r="O30" s="55"/>
      <c r="P30" s="55"/>
      <c r="Q30" s="40"/>
      <c r="R30" s="55"/>
      <c r="S30" s="55"/>
      <c r="T30" s="55"/>
      <c r="U30" s="55"/>
      <c r="V30" s="55"/>
      <c r="W30" s="54"/>
      <c r="X30" s="68"/>
      <c r="Y30" s="392"/>
      <c r="Z30" s="393"/>
      <c r="AA30" s="393"/>
      <c r="AB30" s="393"/>
      <c r="AC30" s="393"/>
      <c r="AD30" s="394"/>
      <c r="AE30" s="113"/>
      <c r="AG30" s="410"/>
      <c r="AH30" s="410"/>
      <c r="AI30" s="410"/>
      <c r="AJ30" s="410"/>
      <c r="AN30" s="292"/>
      <c r="AO30" s="293"/>
      <c r="AP30" s="398"/>
      <c r="AQ30" s="398"/>
      <c r="AR30" s="398"/>
      <c r="AS30" s="290"/>
      <c r="AT30" s="291"/>
      <c r="AU30" s="291"/>
      <c r="AV30" s="290"/>
      <c r="AW30" s="291"/>
      <c r="AX30" s="291"/>
      <c r="AY30" s="290"/>
    </row>
    <row r="31" spans="2:51" ht="15.75" customHeight="1">
      <c r="B31" s="126"/>
      <c r="C31" s="68"/>
      <c r="D31" s="37"/>
      <c r="E31" s="41"/>
      <c r="F31" s="41"/>
      <c r="G31" s="62"/>
      <c r="H31" s="64">
        <v>25</v>
      </c>
      <c r="I31" s="411" t="str">
        <f>IF(OR(H30="",H32="")=TRUE,"1ª Meia Final-Jogador1",IF(H30&gt;H32,C30,C32))</f>
        <v>1ª Meia Final-Jogador1</v>
      </c>
      <c r="J31" s="412"/>
      <c r="K31" s="413"/>
      <c r="L31" s="69"/>
      <c r="M31" s="69"/>
      <c r="N31" s="70"/>
      <c r="O31" s="38" t="str">
        <f>IF(COUNT(L31:N31)&lt;1,"",IF(SUM(IF(L31&gt;L35,1,0),IF(M31&gt;M35,1,0),IF(N31&gt;N35,1,0))&gt;2,"??",SUM(IF(L31&gt;L35,1,0),IF(M31&gt;M35,1,0),IF(N31&gt;N35,1,0))))</f>
        <v/>
      </c>
      <c r="P31" s="55"/>
      <c r="Q31" s="40"/>
      <c r="R31" s="55"/>
      <c r="S31" s="55"/>
      <c r="T31" s="55"/>
      <c r="U31" s="55"/>
      <c r="V31" s="55"/>
      <c r="W31" s="54"/>
      <c r="X31" s="68"/>
      <c r="Y31" s="414" t="str">
        <f>IF(X37="1º Classificado","",X37)</f>
        <v/>
      </c>
      <c r="Z31" s="415"/>
      <c r="AA31" s="415"/>
      <c r="AB31" s="415"/>
      <c r="AC31" s="415"/>
      <c r="AD31" s="39" t="s">
        <v>1</v>
      </c>
      <c r="AE31" s="113"/>
      <c r="AG31" s="410"/>
      <c r="AH31" s="410"/>
      <c r="AI31" s="410"/>
      <c r="AJ31" s="410"/>
      <c r="AN31" s="288"/>
      <c r="AO31" s="289"/>
      <c r="AP31" s="416"/>
      <c r="AQ31" s="416"/>
      <c r="AR31" s="416"/>
      <c r="AS31" s="290"/>
      <c r="AT31" s="291"/>
      <c r="AU31" s="291"/>
      <c r="AV31" s="290"/>
      <c r="AW31" s="291"/>
      <c r="AX31" s="291"/>
      <c r="AY31" s="290"/>
    </row>
    <row r="32" spans="2:51" ht="15.75" customHeight="1">
      <c r="B32" s="126"/>
      <c r="C32" s="369" t="str">
        <f>IF(K13="","2º do grupo B",K13)</f>
        <v>2º do grupo B</v>
      </c>
      <c r="D32" s="370"/>
      <c r="E32" s="69"/>
      <c r="F32" s="69"/>
      <c r="G32" s="70"/>
      <c r="H32" s="35" t="str">
        <f>IF(COUNT(E32:G32)&lt;1,"",IF(SUM(IF(E30&lt;E32,1,0),IF(F30&lt;F32,1,0),IF(G30&lt;G32,1,0))&gt;2,"??",SUM(IF(E30&lt;E32,1,0),IF(F30&lt;F32,1,0),IF(G30&lt;G32,1,0))))</f>
        <v/>
      </c>
      <c r="I32" s="36"/>
      <c r="J32" s="40"/>
      <c r="K32" s="59"/>
      <c r="L32" s="55"/>
      <c r="M32" s="41"/>
      <c r="N32" s="41"/>
      <c r="O32" s="42"/>
      <c r="P32" s="36"/>
      <c r="Q32" s="40"/>
      <c r="R32" s="55"/>
      <c r="S32" s="55"/>
      <c r="T32" s="55"/>
      <c r="U32" s="55"/>
      <c r="V32" s="60"/>
      <c r="W32" s="53"/>
      <c r="X32" s="48"/>
      <c r="Y32" s="405" t="str">
        <f>IF(Y31="","",IF(Y31=P33,P41,P33))</f>
        <v/>
      </c>
      <c r="Z32" s="406" t="e">
        <f>IF(#REF!="","",IF(#REF!=W32,"","(2º) "))</f>
        <v>#REF!</v>
      </c>
      <c r="AA32" s="406" t="e">
        <f>IF(#REF!="","",IF(#REF!=X32,"","(2º) "))</f>
        <v>#REF!</v>
      </c>
      <c r="AB32" s="406" t="e">
        <f>IF(#REF!="","",IF(#REF!=Y32,"","(2º) "))</f>
        <v>#REF!</v>
      </c>
      <c r="AC32" s="406" t="e">
        <f>IF(#REF!="","",IF(#REF!=Z32,"","(2º) "))</f>
        <v>#REF!</v>
      </c>
      <c r="AD32" s="43" t="s">
        <v>2</v>
      </c>
      <c r="AE32" s="113"/>
      <c r="AN32" s="292"/>
      <c r="AO32" s="293"/>
      <c r="AP32" s="398"/>
      <c r="AQ32" s="398"/>
      <c r="AR32" s="398"/>
      <c r="AS32" s="290"/>
      <c r="AT32" s="291"/>
      <c r="AU32" s="291"/>
      <c r="AV32" s="290"/>
      <c r="AW32" s="291"/>
      <c r="AX32" s="291"/>
      <c r="AY32" s="290"/>
    </row>
    <row r="33" spans="2:51" ht="15.75" customHeight="1">
      <c r="B33" s="126"/>
      <c r="C33" s="68"/>
      <c r="D33" s="37"/>
      <c r="E33" s="55"/>
      <c r="F33" s="42"/>
      <c r="G33" s="44"/>
      <c r="H33" s="44"/>
      <c r="I33" s="55"/>
      <c r="J33" s="40"/>
      <c r="K33" s="59"/>
      <c r="L33" s="55"/>
      <c r="M33" s="42"/>
      <c r="N33" s="42"/>
      <c r="O33" s="64">
        <v>29</v>
      </c>
      <c r="P33" s="374" t="str">
        <f>IF(OR(O31="",O35="")=TRUE,"Final-Jogador1",IF(O31&gt;O35,I31,I35))</f>
        <v>Final-Jogador1</v>
      </c>
      <c r="Q33" s="369"/>
      <c r="R33" s="369"/>
      <c r="S33" s="370"/>
      <c r="T33" s="69"/>
      <c r="U33" s="69"/>
      <c r="V33" s="69"/>
      <c r="W33" s="45" t="str">
        <f>IF(COUNT(T33:V33)&lt;1,"",IF(SUM(IF(T33&gt;T41,1,0),IF(U33&gt;U41,1,0),IF(V33&gt;V41,1,0))&gt;2,"??",SUM(IF(T33&gt;T41,1,0),IF(U33&gt;U41,1,0),IF(V33&gt;V41,1,0))))</f>
        <v/>
      </c>
      <c r="X33" s="48"/>
      <c r="Y33" s="407" t="str">
        <f>IF(P37="3º Classificado","",P37)</f>
        <v/>
      </c>
      <c r="Z33" s="408"/>
      <c r="AA33" s="408"/>
      <c r="AB33" s="408"/>
      <c r="AC33" s="408"/>
      <c r="AD33" s="166" t="s">
        <v>3</v>
      </c>
      <c r="AE33" s="113"/>
      <c r="AN33" s="292"/>
      <c r="AO33" s="293"/>
      <c r="AP33" s="398"/>
      <c r="AQ33" s="398"/>
      <c r="AR33" s="398"/>
      <c r="AS33" s="290"/>
      <c r="AT33" s="291"/>
      <c r="AU33" s="291"/>
      <c r="AV33" s="290"/>
      <c r="AW33" s="291"/>
      <c r="AX33" s="291"/>
      <c r="AY33" s="290"/>
    </row>
    <row r="34" spans="2:51" ht="15.75" customHeight="1" thickBot="1">
      <c r="B34" s="126"/>
      <c r="C34" s="369" t="str">
        <f>IF(Y13="","2º do grupo D",Y13)</f>
        <v>2º do grupo D</v>
      </c>
      <c r="D34" s="370"/>
      <c r="E34" s="69"/>
      <c r="F34" s="69"/>
      <c r="G34" s="70"/>
      <c r="H34" s="35" t="str">
        <f>IF(COUNT(E34:G34)&lt;1,"",IF(SUM(IF(E34&gt;E36,1,0),IF(F34&gt;F36,1,0),IF(G34&gt;G36,1,0))&gt;2,"??",SUM(IF(E34&gt;E36,1,0),IF(F34&gt;F36,1,0),IF(G34&gt;G36,1,0))))</f>
        <v/>
      </c>
      <c r="I34" s="36"/>
      <c r="J34" s="40"/>
      <c r="K34" s="59"/>
      <c r="L34" s="55"/>
      <c r="M34" s="42"/>
      <c r="N34" s="42"/>
      <c r="O34" s="42"/>
      <c r="P34" s="36"/>
      <c r="Q34" s="40"/>
      <c r="R34" s="55"/>
      <c r="S34" s="46"/>
      <c r="T34" s="42"/>
      <c r="U34" s="42"/>
      <c r="V34" s="67"/>
      <c r="W34" s="47"/>
      <c r="X34" s="48"/>
      <c r="Y34" s="403" t="str">
        <f>IF(Y33="","",IF(Y33=P35,P39,P35))</f>
        <v/>
      </c>
      <c r="Z34" s="404" t="e">
        <f>IF(#REF!="","",IF(#REF!=W34,"","(2º) "))</f>
        <v>#REF!</v>
      </c>
      <c r="AA34" s="404" t="e">
        <f>IF(#REF!="","",IF(#REF!=X34,"","(2º) "))</f>
        <v>#REF!</v>
      </c>
      <c r="AB34" s="404" t="e">
        <f>IF(#REF!="","",IF(#REF!=Y34,"","(2º) "))</f>
        <v>#REF!</v>
      </c>
      <c r="AC34" s="404" t="e">
        <f>IF(#REF!="","",IF(#REF!=Z34,"","(2º) "))</f>
        <v>#REF!</v>
      </c>
      <c r="AD34" s="165" t="s">
        <v>4</v>
      </c>
      <c r="AE34" s="113"/>
      <c r="AN34" s="292"/>
      <c r="AO34" s="293"/>
      <c r="AP34" s="398"/>
      <c r="AQ34" s="398"/>
      <c r="AR34" s="398"/>
      <c r="AS34" s="290"/>
      <c r="AT34" s="291"/>
      <c r="AU34" s="291"/>
      <c r="AV34" s="290"/>
      <c r="AW34" s="291"/>
      <c r="AX34" s="291"/>
      <c r="AY34" s="290"/>
    </row>
    <row r="35" spans="2:51" ht="15.75" customHeight="1">
      <c r="B35" s="126"/>
      <c r="C35" s="68"/>
      <c r="D35" s="37"/>
      <c r="E35" s="55"/>
      <c r="F35" s="42"/>
      <c r="G35" s="44"/>
      <c r="H35" s="63">
        <v>26</v>
      </c>
      <c r="I35" s="374" t="str">
        <f>IF(OR(H34="",H36="")=TRUE,"1ª Meia Final-Jogador2",IF(H34&gt;H36,C34,C36))</f>
        <v>1ª Meia Final-Jogador2</v>
      </c>
      <c r="J35" s="369"/>
      <c r="K35" s="370"/>
      <c r="L35" s="69"/>
      <c r="M35" s="69"/>
      <c r="N35" s="70"/>
      <c r="O35" s="38" t="str">
        <f>IF(COUNT(L35:N35)&lt;1,"",IF(SUM(IF(L31&lt;L35,1,0),IF(M31&lt;M35,1,0),IF(N31&lt;N35,1,0))&gt;2,"??",SUM(IF(L31&lt;L35,1,0),IF(M31&lt;M35,1,0),IF(N31&lt;N35,1,0))))</f>
        <v/>
      </c>
      <c r="P35" s="371" t="str">
        <f>IF(P33="Final-Jogador1","Disputa 3º/4º  Jogador1",IF(P33=I31,I35,I31))</f>
        <v>Disputa 3º/4º  Jogador1</v>
      </c>
      <c r="Q35" s="372"/>
      <c r="R35" s="373"/>
      <c r="S35" s="69"/>
      <c r="T35" s="69"/>
      <c r="U35" s="69"/>
      <c r="V35" s="49" t="str">
        <f>IF(COUNT(S35:U35)&lt;1,"",IF(SUM(IF(S35&gt;S39,1,0),IF(T35&gt;T39,1,0),IF(U35&gt;U39,1,0))&gt;2,"??",SUM(IF(S35&gt;S39,1,0),IF(T35&gt;T39,1,0),IF(U35&gt;U39,1,0))))</f>
        <v/>
      </c>
      <c r="W35" s="50"/>
      <c r="X35" s="48"/>
      <c r="Y35" s="53"/>
      <c r="Z35" s="53"/>
      <c r="AA35" s="53"/>
      <c r="AB35" s="53"/>
      <c r="AC35" s="53"/>
      <c r="AD35" s="54"/>
      <c r="AE35" s="113"/>
      <c r="AN35" s="292"/>
      <c r="AO35" s="293"/>
      <c r="AP35" s="398"/>
      <c r="AQ35" s="398"/>
      <c r="AR35" s="398"/>
      <c r="AS35" s="290"/>
      <c r="AT35" s="291"/>
      <c r="AU35" s="291"/>
      <c r="AV35" s="290"/>
      <c r="AW35" s="291"/>
      <c r="AX35" s="291"/>
      <c r="AY35" s="290"/>
    </row>
    <row r="36" spans="2:51" ht="15.75" customHeight="1">
      <c r="B36" s="126"/>
      <c r="C36" s="369" t="str">
        <f>IF(R12="","1º do grupo C",R12)</f>
        <v>1º do grupo C</v>
      </c>
      <c r="D36" s="370"/>
      <c r="E36" s="69"/>
      <c r="F36" s="69"/>
      <c r="G36" s="70"/>
      <c r="H36" s="35" t="str">
        <f>IF(COUNT(E36:G36)&lt;1,"",IF(SUM(IF(E34&lt;E36,1,0),IF(F34&lt;F36,1,0),IF(G34&lt;G36,1,0))&gt;2,"??",SUM(IF(E34&lt;E36,1,0),IF(F34&lt;F36,1,0),IF(G34&lt;G36,1,0))))</f>
        <v/>
      </c>
      <c r="I36" s="36"/>
      <c r="J36" s="40"/>
      <c r="K36" s="59"/>
      <c r="L36" s="46"/>
      <c r="M36" s="42"/>
      <c r="N36" s="42"/>
      <c r="O36" s="42"/>
      <c r="P36" s="55"/>
      <c r="Q36" s="51"/>
      <c r="R36" s="46"/>
      <c r="S36" s="46"/>
      <c r="T36" s="41"/>
      <c r="U36" s="41"/>
      <c r="V36" s="52"/>
      <c r="W36" s="50"/>
      <c r="X36" s="48"/>
      <c r="Y36" s="53"/>
      <c r="Z36" s="53"/>
      <c r="AA36" s="53"/>
      <c r="AB36" s="53"/>
      <c r="AC36" s="53"/>
      <c r="AD36" s="54"/>
      <c r="AE36" s="113"/>
      <c r="AN36" s="292"/>
      <c r="AO36" s="293"/>
      <c r="AP36" s="398"/>
      <c r="AQ36" s="398"/>
      <c r="AR36" s="398"/>
      <c r="AS36" s="290"/>
      <c r="AT36" s="291"/>
      <c r="AU36" s="291"/>
      <c r="AV36" s="290"/>
      <c r="AW36" s="291"/>
      <c r="AX36" s="291"/>
      <c r="AY36" s="290"/>
    </row>
    <row r="37" spans="2:51" ht="27" customHeight="1">
      <c r="B37" s="126"/>
      <c r="C37" s="127" t="s">
        <v>60</v>
      </c>
      <c r="D37" s="71"/>
      <c r="E37" s="118"/>
      <c r="F37" s="118"/>
      <c r="G37" s="119"/>
      <c r="H37" s="120"/>
      <c r="I37" s="55"/>
      <c r="J37" s="40"/>
      <c r="K37" s="59"/>
      <c r="L37" s="55"/>
      <c r="M37" s="42"/>
      <c r="N37" s="42"/>
      <c r="O37" s="42"/>
      <c r="P37" s="380" t="str">
        <f>IF(OR(V35="",V39="")=TRUE,"3º Classificado",IF(V35&gt;V39,P35,P39))</f>
        <v>3º Classificado</v>
      </c>
      <c r="Q37" s="380"/>
      <c r="R37" s="380"/>
      <c r="S37" s="380"/>
      <c r="T37" s="380"/>
      <c r="U37" s="380"/>
      <c r="V37" s="65">
        <v>31</v>
      </c>
      <c r="W37" s="66">
        <v>32</v>
      </c>
      <c r="X37" s="381" t="str">
        <f>IF(OR(W33="",W41="")=TRUE,"1º Classificado",IF(W33&gt;W41,P33,P41))</f>
        <v>1º Classificado</v>
      </c>
      <c r="Y37" s="382"/>
      <c r="Z37" s="382"/>
      <c r="AA37" s="382"/>
      <c r="AB37" s="382"/>
      <c r="AC37" s="382"/>
      <c r="AD37" s="54"/>
      <c r="AE37" s="113"/>
      <c r="AN37" s="292"/>
      <c r="AO37" s="293"/>
      <c r="AP37" s="398"/>
      <c r="AQ37" s="398"/>
      <c r="AR37" s="398"/>
      <c r="AS37" s="290"/>
      <c r="AT37" s="291"/>
      <c r="AU37" s="291"/>
      <c r="AV37" s="290"/>
      <c r="AW37" s="291"/>
      <c r="AX37" s="291"/>
      <c r="AY37" s="290"/>
    </row>
    <row r="38" spans="2:51" ht="15.75" customHeight="1">
      <c r="B38" s="126"/>
      <c r="C38" s="369" t="str">
        <f>IF(K12="","1º do grupo B",K12)</f>
        <v>1º do grupo B</v>
      </c>
      <c r="D38" s="370"/>
      <c r="E38" s="69"/>
      <c r="F38" s="69"/>
      <c r="G38" s="70"/>
      <c r="H38" s="35" t="str">
        <f>IF(COUNT(E38:G38)&lt;1,"",IF(SUM(IF(E38&gt;E40,1,0),IF(F38&gt;F40,1,0),IF(G38&gt;G40,1,0))&gt;2,"??",SUM(IF(E38&gt;E40,1,0),IF(F38&gt;F40,1,0),IF(G38&gt;G40,1,0))))</f>
        <v/>
      </c>
      <c r="I38" s="36"/>
      <c r="J38" s="40"/>
      <c r="K38" s="59"/>
      <c r="L38" s="55"/>
      <c r="M38" s="42"/>
      <c r="N38" s="42"/>
      <c r="O38" s="42"/>
      <c r="P38" s="55"/>
      <c r="Q38" s="40"/>
      <c r="R38" s="55"/>
      <c r="S38" s="55"/>
      <c r="T38" s="42"/>
      <c r="U38" s="42"/>
      <c r="V38" s="56"/>
      <c r="W38" s="50"/>
      <c r="X38" s="48"/>
      <c r="Y38" s="402" t="s">
        <v>5</v>
      </c>
      <c r="Z38" s="402"/>
      <c r="AA38" s="402"/>
      <c r="AB38" s="402"/>
      <c r="AC38" s="402"/>
      <c r="AD38" s="54"/>
      <c r="AE38" s="113"/>
      <c r="AN38" s="292"/>
      <c r="AO38" s="293"/>
      <c r="AP38" s="398"/>
      <c r="AQ38" s="398"/>
      <c r="AR38" s="398"/>
      <c r="AS38" s="290"/>
      <c r="AT38" s="291"/>
      <c r="AU38" s="291"/>
      <c r="AV38" s="290"/>
      <c r="AW38" s="291"/>
      <c r="AX38" s="291"/>
      <c r="AY38" s="290"/>
    </row>
    <row r="39" spans="2:51" ht="15.75" customHeight="1">
      <c r="B39" s="126"/>
      <c r="C39" s="68"/>
      <c r="D39" s="37"/>
      <c r="E39" s="55"/>
      <c r="F39" s="41"/>
      <c r="G39" s="44"/>
      <c r="H39" s="63">
        <v>27</v>
      </c>
      <c r="I39" s="374" t="str">
        <f>IF(OR(H38="",H40="")=TRUE,"2ª Meia Final-Jogador1",IF(H38&gt;H40,C38,C40))</f>
        <v>2ª Meia Final-Jogador1</v>
      </c>
      <c r="J39" s="369"/>
      <c r="K39" s="370"/>
      <c r="L39" s="69"/>
      <c r="M39" s="69"/>
      <c r="N39" s="70"/>
      <c r="O39" s="38" t="str">
        <f>IF(COUNT(L39:N39)&lt;1,"",IF(SUM(IF(L39&gt;L43,1,0),IF(M39&gt;M43,1,0),IF(N39&gt;N43,1,0))&gt;2,"??",SUM(IF(L39&gt;L43,1,0),IF(M39&gt;M43,1,0),IF(N39&gt;N43,1,0))))</f>
        <v/>
      </c>
      <c r="P39" s="371" t="str">
        <f>IF(P41="Final-Jogador2","Disputa 3º/4º  Jogador2",IF(P41=I39,I43,I39))</f>
        <v>Disputa 3º/4º  Jogador2</v>
      </c>
      <c r="Q39" s="372"/>
      <c r="R39" s="373"/>
      <c r="S39" s="69"/>
      <c r="T39" s="69"/>
      <c r="U39" s="69"/>
      <c r="V39" s="49" t="str">
        <f>IF(COUNT(S39:U39)&lt;1,"",IF(SUM(IF(S35&lt;S39,1,0),IF(T35&lt;T39,1,0),IF(U35&lt;U39,1,0))&gt;2,"??",SUM(IF(S35&lt;S39,1,0),IF(T35&lt;T39,1,0),IF(U35&lt;U39,1,0))))</f>
        <v/>
      </c>
      <c r="W39" s="50"/>
      <c r="X39" s="48"/>
      <c r="Y39" s="53"/>
      <c r="Z39" s="53"/>
      <c r="AA39" s="53"/>
      <c r="AB39" s="57"/>
      <c r="AC39" s="57"/>
      <c r="AD39" s="58"/>
      <c r="AE39" s="113"/>
      <c r="AN39" s="292"/>
      <c r="AO39" s="293"/>
      <c r="AP39" s="398"/>
      <c r="AQ39" s="398"/>
      <c r="AR39" s="398"/>
      <c r="AS39" s="290"/>
      <c r="AT39" s="291"/>
      <c r="AU39" s="291"/>
      <c r="AV39" s="290"/>
      <c r="AW39" s="291"/>
      <c r="AX39" s="291"/>
      <c r="AY39" s="290"/>
    </row>
    <row r="40" spans="2:51" ht="15.75" customHeight="1">
      <c r="B40" s="126"/>
      <c r="C40" s="369" t="str">
        <f>IF(D13="","2º do grupo A",D13)</f>
        <v>A4</v>
      </c>
      <c r="D40" s="370"/>
      <c r="E40" s="69"/>
      <c r="F40" s="69"/>
      <c r="G40" s="70"/>
      <c r="H40" s="35" t="str">
        <f>IF(COUNT(E40:G40)&lt;1,"",IF(SUM(IF(E38&lt;E40,1,0),IF(F38&lt;F40,1,0),IF(G38&lt;G40,1,0))&gt;2,"??",SUM(IF(E38&lt;E40,1,0),IF(F38&lt;F40,1,0),IF(G38&lt;G40,1,0))))</f>
        <v/>
      </c>
      <c r="I40" s="36"/>
      <c r="J40" s="40"/>
      <c r="K40" s="59"/>
      <c r="L40" s="55"/>
      <c r="M40" s="41"/>
      <c r="N40" s="41"/>
      <c r="O40" s="42"/>
      <c r="P40" s="36"/>
      <c r="Q40" s="51"/>
      <c r="R40" s="46"/>
      <c r="S40" s="55"/>
      <c r="T40" s="42"/>
      <c r="U40" s="42"/>
      <c r="V40" s="67"/>
      <c r="W40" s="50"/>
      <c r="X40" s="48"/>
      <c r="Y40" s="53"/>
      <c r="Z40" s="53"/>
      <c r="AA40" s="53"/>
      <c r="AB40" s="53"/>
      <c r="AC40" s="53"/>
      <c r="AD40" s="54"/>
      <c r="AE40" s="113"/>
      <c r="AN40" s="292"/>
      <c r="AO40" s="293"/>
      <c r="AP40" s="398"/>
      <c r="AQ40" s="398"/>
      <c r="AR40" s="398"/>
      <c r="AS40" s="290"/>
      <c r="AT40" s="291"/>
      <c r="AU40" s="291"/>
      <c r="AV40" s="290"/>
      <c r="AW40" s="291"/>
      <c r="AX40" s="291"/>
      <c r="AY40" s="290"/>
    </row>
    <row r="41" spans="2:51" ht="15.75" customHeight="1">
      <c r="B41" s="126"/>
      <c r="C41" s="68"/>
      <c r="D41" s="37"/>
      <c r="E41" s="55"/>
      <c r="F41" s="42"/>
      <c r="G41" s="44"/>
      <c r="H41" s="121"/>
      <c r="I41" s="55"/>
      <c r="J41" s="40"/>
      <c r="K41" s="59"/>
      <c r="L41" s="55"/>
      <c r="M41" s="42"/>
      <c r="N41" s="42"/>
      <c r="O41" s="64">
        <v>30</v>
      </c>
      <c r="P41" s="374" t="str">
        <f>IF(OR(O39="",O43="")=TRUE,"Final-Jogador2",IF(O39&gt;O43,I39,I43))</f>
        <v>Final-Jogador2</v>
      </c>
      <c r="Q41" s="369"/>
      <c r="R41" s="369"/>
      <c r="S41" s="370"/>
      <c r="T41" s="69"/>
      <c r="U41" s="69"/>
      <c r="V41" s="69"/>
      <c r="W41" s="45" t="str">
        <f>IF(COUNT(T41:V41)&lt;1,"",IF(SUM(IF(T33&lt;T41,1,0),IF(U33&lt;U41,1,0),IF(V33&lt;V41,1,0))&gt;2,"??",SUM(IF(T33&lt;T41,1,0),IF(U33&lt;U41,1,0),IF(V33&lt;V41,1,0))))</f>
        <v/>
      </c>
      <c r="X41" s="48"/>
      <c r="Y41" s="53"/>
      <c r="Z41" s="53"/>
      <c r="AA41" s="53"/>
      <c r="AB41" s="53"/>
      <c r="AC41" s="53"/>
      <c r="AD41" s="54"/>
      <c r="AE41" s="113"/>
      <c r="AN41" s="292"/>
      <c r="AO41" s="293"/>
      <c r="AP41" s="398"/>
      <c r="AQ41" s="398"/>
      <c r="AR41" s="398"/>
      <c r="AS41" s="290"/>
      <c r="AT41" s="291"/>
      <c r="AU41" s="291"/>
      <c r="AV41" s="290"/>
      <c r="AW41" s="291"/>
      <c r="AX41" s="291"/>
      <c r="AY41" s="290"/>
    </row>
    <row r="42" spans="2:51" ht="15.75" customHeight="1">
      <c r="B42" s="126"/>
      <c r="C42" s="369" t="str">
        <f>IF(R13="","2º do grupo C",R13)</f>
        <v>2º do grupo C</v>
      </c>
      <c r="D42" s="370"/>
      <c r="E42" s="69"/>
      <c r="F42" s="69"/>
      <c r="G42" s="70"/>
      <c r="H42" s="35" t="str">
        <f>IF(COUNT(E42:G42)&lt;1,"",IF(SUM(IF(E42&gt;E44,1,0),IF(F42&gt;F44,1,0),IF(G42&gt;G44,1,0))&gt;2,"??",SUM(IF(E42&gt;E44,1,0),IF(F42&gt;F44,1,0),IF(G42&gt;G44,1,0))))</f>
        <v/>
      </c>
      <c r="I42" s="36"/>
      <c r="J42" s="40"/>
      <c r="K42" s="59"/>
      <c r="L42" s="55"/>
      <c r="M42" s="42"/>
      <c r="N42" s="42"/>
      <c r="O42" s="42"/>
      <c r="P42" s="36"/>
      <c r="Q42" s="40"/>
      <c r="R42" s="55"/>
      <c r="S42" s="46"/>
      <c r="T42" s="55"/>
      <c r="U42" s="55"/>
      <c r="V42" s="60"/>
      <c r="W42" s="53"/>
      <c r="X42" s="48"/>
      <c r="Y42" s="53"/>
      <c r="Z42" s="53"/>
      <c r="AA42" s="53"/>
      <c r="AB42" s="53"/>
      <c r="AC42" s="53"/>
      <c r="AD42" s="54"/>
      <c r="AE42" s="113"/>
      <c r="AN42" s="292"/>
      <c r="AO42" s="293"/>
      <c r="AP42" s="398"/>
      <c r="AQ42" s="398"/>
      <c r="AR42" s="398"/>
      <c r="AS42" s="290"/>
      <c r="AT42" s="291"/>
      <c r="AU42" s="291"/>
      <c r="AV42" s="290"/>
      <c r="AW42" s="291"/>
      <c r="AX42" s="291"/>
      <c r="AY42" s="290"/>
    </row>
    <row r="43" spans="2:51" ht="15.75" customHeight="1">
      <c r="B43" s="126"/>
      <c r="C43" s="68"/>
      <c r="D43" s="37"/>
      <c r="E43" s="55"/>
      <c r="F43" s="42"/>
      <c r="G43" s="44"/>
      <c r="H43" s="63">
        <v>28</v>
      </c>
      <c r="I43" s="374" t="str">
        <f>IF(OR(H42="",H44="")=TRUE,"2ª Meia Final-Jogador2",IF(H42&gt;H44,C42,C44))</f>
        <v>2ª Meia Final-Jogador2</v>
      </c>
      <c r="J43" s="369"/>
      <c r="K43" s="370"/>
      <c r="L43" s="69"/>
      <c r="M43" s="69"/>
      <c r="N43" s="70"/>
      <c r="O43" s="35" t="str">
        <f>IF(COUNT(L43:N43)&lt;1,"",IF(SUM(IF(L39&lt;L43,1,0),IF(M39&lt;M43,1,0),IF(N39&lt;N43,1,0))&gt;2,"??",SUM(IF(L39&lt;L43,1,0),IF(M39&lt;M43,1,0),IF(N39&lt;N43,1,0))))</f>
        <v/>
      </c>
      <c r="P43" s="36"/>
      <c r="Q43" s="40"/>
      <c r="R43" s="55"/>
      <c r="S43" s="55"/>
      <c r="T43" s="55"/>
      <c r="U43" s="55"/>
      <c r="V43" s="55"/>
      <c r="W43" s="54"/>
      <c r="X43" s="68"/>
      <c r="Y43" s="54"/>
      <c r="Z43" s="54"/>
      <c r="AA43" s="54"/>
      <c r="AB43" s="54"/>
      <c r="AC43" s="54"/>
      <c r="AD43" s="54"/>
      <c r="AE43" s="113"/>
      <c r="AN43" s="292"/>
      <c r="AO43" s="293"/>
      <c r="AP43" s="398"/>
      <c r="AQ43" s="398"/>
      <c r="AR43" s="398"/>
      <c r="AS43" s="290"/>
      <c r="AT43" s="291"/>
      <c r="AU43" s="291"/>
      <c r="AV43" s="290"/>
      <c r="AW43" s="291"/>
      <c r="AX43" s="291"/>
      <c r="AY43" s="290"/>
    </row>
    <row r="44" spans="2:51" ht="15.75" customHeight="1">
      <c r="B44" s="126"/>
      <c r="C44" s="369" t="str">
        <f>IF(Y12="","1º do grupo D",Y12)</f>
        <v>1º do grupo D</v>
      </c>
      <c r="D44" s="370"/>
      <c r="E44" s="69"/>
      <c r="F44" s="69"/>
      <c r="G44" s="70"/>
      <c r="H44" s="35" t="str">
        <f>IF(COUNT(E44:G44)&lt;1,"",IF(SUM(IF(E42&lt;E44,1,0),IF(F42&lt;F44,1,0),IF(G42&lt;G44,1,0))&gt;2,"??",SUM(IF(E42&lt;E44,1,0),IF(F42&lt;F44,1,0),IF(G42&lt;G44,1,0))))</f>
        <v/>
      </c>
      <c r="I44" s="36"/>
      <c r="J44" s="40"/>
      <c r="K44" s="55"/>
      <c r="L44" s="46"/>
      <c r="M44" s="55"/>
      <c r="N44" s="55"/>
      <c r="O44" s="55"/>
      <c r="P44" s="55"/>
      <c r="Q44" s="40"/>
      <c r="R44" s="55"/>
      <c r="S44" s="55"/>
      <c r="T44" s="55"/>
      <c r="U44" s="55"/>
      <c r="V44" s="55"/>
      <c r="W44" s="54"/>
      <c r="X44" s="68"/>
      <c r="Y44" s="54"/>
      <c r="Z44" s="54"/>
      <c r="AA44" s="54"/>
      <c r="AB44" s="54"/>
      <c r="AC44" s="54"/>
      <c r="AD44" s="54"/>
      <c r="AE44" s="113"/>
      <c r="AN44" s="292"/>
      <c r="AO44" s="293"/>
      <c r="AP44" s="398"/>
      <c r="AQ44" s="398"/>
      <c r="AR44" s="398"/>
      <c r="AS44" s="290"/>
      <c r="AT44" s="291"/>
      <c r="AU44" s="291"/>
      <c r="AV44" s="290"/>
      <c r="AW44" s="291"/>
      <c r="AX44" s="291"/>
      <c r="AY44" s="290"/>
    </row>
    <row r="45" spans="2:51" ht="11.25" customHeight="1">
      <c r="B45" s="128"/>
      <c r="C45" s="123"/>
      <c r="D45" s="129"/>
      <c r="E45" s="122"/>
      <c r="F45" s="122"/>
      <c r="G45" s="122"/>
      <c r="H45" s="122"/>
      <c r="I45" s="122"/>
      <c r="J45" s="123"/>
      <c r="K45" s="122"/>
      <c r="L45" s="122"/>
      <c r="M45" s="122"/>
      <c r="N45" s="122"/>
      <c r="O45" s="122"/>
      <c r="P45" s="122"/>
      <c r="Q45" s="123"/>
      <c r="R45" s="122"/>
      <c r="S45" s="122"/>
      <c r="T45" s="122"/>
      <c r="U45" s="122"/>
      <c r="V45" s="122"/>
      <c r="W45" s="122"/>
      <c r="X45" s="123"/>
      <c r="Y45" s="122"/>
      <c r="Z45" s="122"/>
      <c r="AA45" s="122"/>
      <c r="AB45" s="122"/>
      <c r="AC45" s="122"/>
      <c r="AD45" s="122"/>
      <c r="AE45" s="124"/>
      <c r="AN45" s="292"/>
      <c r="AO45" s="293"/>
      <c r="AP45" s="398"/>
      <c r="AQ45" s="398"/>
      <c r="AR45" s="398"/>
      <c r="AS45" s="290"/>
      <c r="AT45" s="291"/>
      <c r="AU45" s="291"/>
      <c r="AV45" s="290"/>
      <c r="AW45" s="291"/>
      <c r="AX45" s="291"/>
      <c r="AY45" s="290"/>
    </row>
    <row r="46" spans="2:51" ht="4.5" customHeight="1">
      <c r="AN46" s="292"/>
      <c r="AO46" s="293"/>
      <c r="AP46" s="398"/>
      <c r="AQ46" s="398"/>
      <c r="AR46" s="398"/>
      <c r="AS46" s="290"/>
      <c r="AT46" s="291"/>
      <c r="AU46" s="291"/>
      <c r="AV46" s="290"/>
      <c r="AW46" s="291"/>
      <c r="AX46" s="291"/>
      <c r="AY46" s="290"/>
    </row>
    <row r="47" spans="2:51" ht="13.5" thickBot="1">
      <c r="D47" s="54"/>
      <c r="H47" s="125"/>
      <c r="I47" s="61"/>
      <c r="J47" s="167"/>
      <c r="K47" s="61"/>
      <c r="L47" s="61"/>
      <c r="M47" s="61"/>
      <c r="N47" s="61"/>
      <c r="O47" s="61"/>
      <c r="P47" s="61"/>
      <c r="Q47" s="167"/>
      <c r="R47" s="61"/>
      <c r="S47" s="61"/>
      <c r="T47" s="61"/>
      <c r="U47" s="61"/>
      <c r="V47" s="61"/>
      <c r="W47" s="61"/>
      <c r="X47" s="167"/>
      <c r="Y47" s="61"/>
      <c r="Z47" s="61"/>
      <c r="AA47" s="61"/>
      <c r="AB47" s="61"/>
      <c r="AC47" s="61"/>
      <c r="AD47" s="61"/>
      <c r="AE47" s="3"/>
      <c r="AN47" s="292"/>
      <c r="AO47" s="293"/>
      <c r="AP47" s="398"/>
      <c r="AQ47" s="398"/>
      <c r="AR47" s="398"/>
      <c r="AS47" s="290"/>
      <c r="AT47" s="291"/>
      <c r="AU47" s="291"/>
      <c r="AV47" s="290"/>
      <c r="AW47" s="291"/>
      <c r="AX47" s="291"/>
      <c r="AY47" s="290"/>
    </row>
    <row r="48" spans="2:51">
      <c r="D48" s="54"/>
      <c r="H48" s="126"/>
      <c r="I48" s="388" t="s">
        <v>48</v>
      </c>
      <c r="J48" s="388"/>
      <c r="K48" s="388"/>
      <c r="L48" s="388"/>
      <c r="M48" s="388"/>
      <c r="N48" s="388"/>
      <c r="O48" s="388"/>
      <c r="P48" s="388"/>
      <c r="Q48" s="388"/>
      <c r="R48" s="388"/>
      <c r="S48" s="388"/>
      <c r="T48" s="388"/>
      <c r="U48" s="388"/>
      <c r="V48" s="388"/>
      <c r="W48" s="388"/>
      <c r="X48" s="68"/>
      <c r="Y48" s="389" t="s">
        <v>0</v>
      </c>
      <c r="Z48" s="390"/>
      <c r="AA48" s="390"/>
      <c r="AB48" s="390"/>
      <c r="AC48" s="390"/>
      <c r="AD48" s="391"/>
      <c r="AE48" s="113"/>
      <c r="AN48" s="292"/>
      <c r="AO48" s="293"/>
      <c r="AP48" s="398"/>
      <c r="AQ48" s="398"/>
      <c r="AR48" s="398"/>
      <c r="AS48" s="290"/>
      <c r="AT48" s="291"/>
      <c r="AU48" s="291"/>
      <c r="AV48" s="290"/>
      <c r="AW48" s="291"/>
      <c r="AX48" s="291"/>
      <c r="AY48" s="290"/>
    </row>
    <row r="49" spans="2:53" ht="13.5" thickBot="1">
      <c r="B49" s="401"/>
      <c r="C49" s="401"/>
      <c r="D49" s="401"/>
      <c r="E49" s="182"/>
      <c r="H49" s="126"/>
      <c r="I49" s="388"/>
      <c r="J49" s="388"/>
      <c r="K49" s="388"/>
      <c r="L49" s="388"/>
      <c r="M49" s="388"/>
      <c r="N49" s="388"/>
      <c r="O49" s="388"/>
      <c r="P49" s="388"/>
      <c r="Q49" s="388"/>
      <c r="R49" s="388"/>
      <c r="S49" s="388"/>
      <c r="T49" s="388"/>
      <c r="U49" s="388"/>
      <c r="V49" s="388"/>
      <c r="W49" s="388"/>
      <c r="X49" s="68"/>
      <c r="Y49" s="392"/>
      <c r="Z49" s="393"/>
      <c r="AA49" s="393"/>
      <c r="AB49" s="393"/>
      <c r="AC49" s="393"/>
      <c r="AD49" s="394"/>
      <c r="AE49" s="113"/>
      <c r="AN49" s="292"/>
      <c r="AO49" s="293"/>
      <c r="AP49" s="398"/>
      <c r="AQ49" s="398"/>
      <c r="AR49" s="398"/>
      <c r="AS49" s="290"/>
      <c r="AT49" s="291"/>
      <c r="AU49" s="291"/>
      <c r="AV49" s="290"/>
      <c r="AW49" s="291"/>
      <c r="AX49" s="291"/>
      <c r="AY49" s="290"/>
    </row>
    <row r="50" spans="2:53" ht="15.75">
      <c r="H50" s="126"/>
      <c r="I50" s="369" t="str">
        <f>IF(I31="1ª Meia Final-Jogador1",CONCATENATE("Vencido do jogo ",H31),IF(I31=C30,C32,C30))</f>
        <v>Vencido do jogo 25</v>
      </c>
      <c r="J50" s="369"/>
      <c r="K50" s="370"/>
      <c r="L50" s="69"/>
      <c r="M50" s="69"/>
      <c r="N50" s="70"/>
      <c r="O50" s="38" t="str">
        <f>IF(COUNT(L50:N50)&lt;1,"",IF(SUM(IF(L50&gt;L54,1,0),IF(M50&gt;M54,1,0),IF(N50&gt;N54,1,0))&gt;2,"??",SUM(IF(L50&gt;L54,1,0),IF(M50&gt;M54,1,0),IF(N50&gt;N54,1,0))))</f>
        <v/>
      </c>
      <c r="P50" s="55"/>
      <c r="Q50" s="40"/>
      <c r="R50" s="55"/>
      <c r="S50" s="55"/>
      <c r="T50" s="55"/>
      <c r="U50" s="55"/>
      <c r="V50" s="55"/>
      <c r="W50" s="54"/>
      <c r="X50" s="68"/>
      <c r="Y50" s="395" t="str">
        <f>IF(X56="5º Classificado","",X56)</f>
        <v/>
      </c>
      <c r="Z50" s="396"/>
      <c r="AA50" s="396"/>
      <c r="AB50" s="396"/>
      <c r="AC50" s="396"/>
      <c r="AD50" s="39" t="s">
        <v>36</v>
      </c>
      <c r="AE50" s="113"/>
      <c r="AN50" s="292"/>
      <c r="AO50" s="293"/>
      <c r="AP50" s="398"/>
      <c r="AQ50" s="398"/>
      <c r="AR50" s="398"/>
      <c r="AS50" s="290"/>
      <c r="AT50" s="291"/>
      <c r="AU50" s="291"/>
      <c r="AV50" s="290"/>
      <c r="AW50" s="291"/>
      <c r="AX50" s="291"/>
      <c r="AY50" s="290"/>
    </row>
    <row r="51" spans="2:53" ht="15" customHeight="1">
      <c r="H51" s="126"/>
      <c r="I51" s="55"/>
      <c r="J51" s="40"/>
      <c r="K51" s="59"/>
      <c r="L51" s="55"/>
      <c r="M51" s="41"/>
      <c r="N51" s="41"/>
      <c r="O51" s="42"/>
      <c r="P51" s="36"/>
      <c r="Q51" s="40"/>
      <c r="R51" s="55"/>
      <c r="S51" s="55"/>
      <c r="T51" s="55"/>
      <c r="U51" s="55"/>
      <c r="V51" s="60"/>
      <c r="W51" s="53"/>
      <c r="X51" s="48"/>
      <c r="Y51" s="384" t="str">
        <f>IF(Y50="","",IF(Y50=P52,P60,P52))</f>
        <v/>
      </c>
      <c r="Z51" s="385" t="e">
        <f>IF(#REF!="","",IF(#REF!=W51,"","(2º) "))</f>
        <v>#REF!</v>
      </c>
      <c r="AA51" s="385" t="e">
        <f>IF(#REF!="","",IF(#REF!=X51,"","(2º) "))</f>
        <v>#REF!</v>
      </c>
      <c r="AB51" s="385" t="e">
        <f>IF(#REF!="","",IF(#REF!=Y51,"","(2º) "))</f>
        <v>#REF!</v>
      </c>
      <c r="AC51" s="385" t="e">
        <f>IF(#REF!="","",IF(#REF!=Z51,"","(2º) "))</f>
        <v>#REF!</v>
      </c>
      <c r="AD51" s="43" t="s">
        <v>37</v>
      </c>
      <c r="AE51" s="113"/>
      <c r="AN51" s="292"/>
      <c r="AO51" s="293"/>
      <c r="AP51" s="398"/>
      <c r="AQ51" s="398"/>
      <c r="AR51" s="398"/>
      <c r="AS51" s="290"/>
      <c r="AT51" s="291"/>
      <c r="AU51" s="291"/>
      <c r="AV51" s="290"/>
      <c r="AW51" s="291"/>
      <c r="AX51" s="291"/>
      <c r="AY51" s="290"/>
    </row>
    <row r="52" spans="2:53" ht="15" customHeight="1">
      <c r="H52" s="126"/>
      <c r="I52" s="55"/>
      <c r="J52" s="40"/>
      <c r="K52" s="59"/>
      <c r="L52" s="55"/>
      <c r="M52" s="42"/>
      <c r="N52" s="42"/>
      <c r="O52" s="64">
        <v>33</v>
      </c>
      <c r="P52" s="374" t="str">
        <f>IF(OR(O50="",O54="")=TRUE,"Disputa 5º/6º Jogador1",IF(O50&gt;O54,I50,I54))</f>
        <v>Disputa 5º/6º Jogador1</v>
      </c>
      <c r="Q52" s="369"/>
      <c r="R52" s="369"/>
      <c r="S52" s="370"/>
      <c r="T52" s="69"/>
      <c r="U52" s="69"/>
      <c r="V52" s="69"/>
      <c r="W52" s="45" t="str">
        <f>IF(COUNT(T52:V52)&lt;1,"",IF(SUM(IF(T52&gt;T60,1,0),IF(U52&gt;U60,1,0),IF(V52&gt;V60,1,0))&gt;2,"??",SUM(IF(T52&gt;T60,1,0),IF(U52&gt;U60,1,0),IF(V52&gt;V60,1,0))))</f>
        <v/>
      </c>
      <c r="X52" s="48"/>
      <c r="Y52" s="384" t="str">
        <f>IF(P56="7º Classificado","",P56)</f>
        <v/>
      </c>
      <c r="Z52" s="385"/>
      <c r="AA52" s="385"/>
      <c r="AB52" s="385"/>
      <c r="AC52" s="385"/>
      <c r="AD52" s="43" t="s">
        <v>38</v>
      </c>
      <c r="AE52" s="113"/>
      <c r="AN52" s="292"/>
      <c r="AO52" s="293"/>
      <c r="AP52" s="398"/>
      <c r="AQ52" s="398"/>
      <c r="AR52" s="398"/>
      <c r="AS52" s="290"/>
      <c r="AT52" s="291"/>
      <c r="AU52" s="291"/>
      <c r="AV52" s="290"/>
      <c r="AW52" s="291"/>
      <c r="AX52" s="291"/>
      <c r="AY52" s="290"/>
    </row>
    <row r="53" spans="2:53" ht="15.75" thickBot="1">
      <c r="H53" s="126"/>
      <c r="I53" s="55"/>
      <c r="J53" s="40"/>
      <c r="K53" s="59"/>
      <c r="L53" s="55"/>
      <c r="M53" s="42"/>
      <c r="N53" s="42"/>
      <c r="O53" s="42"/>
      <c r="P53" s="36"/>
      <c r="Q53" s="40"/>
      <c r="R53" s="55"/>
      <c r="S53" s="46"/>
      <c r="T53" s="42"/>
      <c r="U53" s="42"/>
      <c r="V53" s="67"/>
      <c r="W53" s="47"/>
      <c r="X53" s="48"/>
      <c r="Y53" s="386" t="str">
        <f>IF(Y52="","",IF(Y52=P54,P58,P54))</f>
        <v/>
      </c>
      <c r="Z53" s="387" t="e">
        <f>IF(#REF!="","",IF(#REF!=W53,"","(2º) "))</f>
        <v>#REF!</v>
      </c>
      <c r="AA53" s="387" t="e">
        <f>IF(#REF!="","",IF(#REF!=X53,"","(2º) "))</f>
        <v>#REF!</v>
      </c>
      <c r="AB53" s="387" t="e">
        <f>IF(#REF!="","",IF(#REF!=Y53,"","(2º) "))</f>
        <v>#REF!</v>
      </c>
      <c r="AC53" s="387" t="e">
        <f>IF(#REF!="","",IF(#REF!=Z53,"","(2º) "))</f>
        <v>#REF!</v>
      </c>
      <c r="AD53" s="164" t="s">
        <v>39</v>
      </c>
      <c r="AE53" s="113"/>
      <c r="AN53" s="292"/>
      <c r="AO53" s="293"/>
      <c r="AP53" s="398"/>
      <c r="AQ53" s="398"/>
      <c r="AR53" s="398"/>
      <c r="AS53" s="290"/>
      <c r="AT53" s="291"/>
      <c r="AU53" s="291"/>
      <c r="AV53" s="290"/>
      <c r="AW53" s="291"/>
      <c r="AX53" s="291"/>
      <c r="AY53" s="290"/>
    </row>
    <row r="54" spans="2:53" ht="15">
      <c r="H54" s="126"/>
      <c r="I54" s="369" t="str">
        <f>IF(I35="1ª Meia Final-Jogador2",CONCATENATE("Vencido do jogo ",H35),IF(I35=C34,C36,C34))</f>
        <v>Vencido do jogo 26</v>
      </c>
      <c r="J54" s="369"/>
      <c r="K54" s="370"/>
      <c r="L54" s="69"/>
      <c r="M54" s="69"/>
      <c r="N54" s="70"/>
      <c r="O54" s="38" t="str">
        <f>IF(COUNT(L54:N54)&lt;1,"",IF(SUM(IF(L50&lt;L54,1,0),IF(M50&lt;M54,1,0),IF(N50&lt;N54,1,0))&gt;2,"??",SUM(IF(L50&lt;L54,1,0),IF(M50&lt;M54,1,0),IF(N50&lt;N54,1,0))))</f>
        <v/>
      </c>
      <c r="P54" s="371" t="str">
        <f>IF(P52="Disputa 5º/6º Jogador1","Disputa 7º/8º  Jogador1",IF(P52=I50,I54,I50))</f>
        <v>Disputa 7º/8º  Jogador1</v>
      </c>
      <c r="Q54" s="399"/>
      <c r="R54" s="400"/>
      <c r="S54" s="69"/>
      <c r="T54" s="69"/>
      <c r="U54" s="69"/>
      <c r="V54" s="49" t="str">
        <f>IF(COUNT(S54:U54)&lt;1,"",IF(SUM(IF(S54&gt;S58,1,0),IF(T54&gt;T58,1,0),IF(U54&gt;U58,1,0))&gt;2,"??",SUM(IF(S54&gt;S58,1,0),IF(T54&gt;T58,1,0),IF(U54&gt;U58,1,0))))</f>
        <v/>
      </c>
      <c r="W54" s="50"/>
      <c r="X54" s="48"/>
      <c r="Y54" s="53"/>
      <c r="Z54" s="53"/>
      <c r="AA54" s="53"/>
      <c r="AB54" s="53"/>
      <c r="AC54" s="53"/>
      <c r="AD54" s="54"/>
      <c r="AE54" s="113"/>
      <c r="AN54" s="292"/>
      <c r="AO54" s="293"/>
      <c r="AP54" s="398"/>
      <c r="AQ54" s="398"/>
      <c r="AR54" s="398"/>
      <c r="AS54" s="290"/>
      <c r="AT54" s="291"/>
      <c r="AU54" s="291"/>
      <c r="AV54" s="290"/>
      <c r="AW54" s="291"/>
      <c r="AX54" s="291"/>
      <c r="AY54" s="290"/>
    </row>
    <row r="55" spans="2:53" ht="12.75" customHeight="1">
      <c r="H55" s="126"/>
      <c r="I55" s="55"/>
      <c r="J55" s="40"/>
      <c r="K55" s="59"/>
      <c r="L55" s="46"/>
      <c r="M55" s="42"/>
      <c r="N55" s="42"/>
      <c r="O55" s="42"/>
      <c r="P55" s="55"/>
      <c r="Q55" s="51"/>
      <c r="R55" s="46"/>
      <c r="S55" s="46"/>
      <c r="T55" s="41"/>
      <c r="U55" s="41"/>
      <c r="V55" s="52"/>
      <c r="W55" s="50"/>
      <c r="X55" s="48"/>
      <c r="Y55" s="53"/>
      <c r="Z55" s="53"/>
      <c r="AA55" s="53"/>
      <c r="AB55" s="53"/>
      <c r="AC55" s="53"/>
      <c r="AD55" s="54"/>
      <c r="AE55" s="113"/>
      <c r="AN55" s="176"/>
      <c r="AO55" s="285"/>
      <c r="AP55" s="285"/>
      <c r="AQ55" s="172"/>
      <c r="AR55" s="173"/>
      <c r="AS55" s="174"/>
      <c r="AT55" s="171"/>
      <c r="AU55" s="171"/>
      <c r="AV55" s="174"/>
      <c r="AW55" s="171"/>
      <c r="AX55" s="171"/>
      <c r="AY55" s="174"/>
      <c r="AZ55" s="108"/>
      <c r="BA55" s="108"/>
    </row>
    <row r="56" spans="2:53" ht="15.75">
      <c r="H56" s="126"/>
      <c r="I56" s="55"/>
      <c r="J56" s="40"/>
      <c r="K56" s="59"/>
      <c r="L56" s="55"/>
      <c r="M56" s="42"/>
      <c r="N56" s="42"/>
      <c r="O56" s="42"/>
      <c r="P56" s="397" t="str">
        <f>IF(OR(V54="",V58="")=TRUE,"7º Classificado",IF(V54&gt;V58,P54,P58))</f>
        <v>7º Classificado</v>
      </c>
      <c r="Q56" s="397"/>
      <c r="R56" s="397"/>
      <c r="S56" s="397"/>
      <c r="T56" s="397"/>
      <c r="U56" s="397"/>
      <c r="V56" s="65">
        <v>35</v>
      </c>
      <c r="W56" s="66">
        <v>36</v>
      </c>
      <c r="X56" s="381" t="str">
        <f>IF(OR(W52="",W60="")=TRUE,"5º Classificado",IF(W52&gt;W60,P52,P60))</f>
        <v>5º Classificado</v>
      </c>
      <c r="Y56" s="382"/>
      <c r="Z56" s="382"/>
      <c r="AA56" s="382"/>
      <c r="AB56" s="382"/>
      <c r="AC56" s="382"/>
      <c r="AD56" s="54"/>
      <c r="AE56" s="113"/>
      <c r="AN56" s="176"/>
      <c r="AO56" s="285"/>
      <c r="AP56" s="285"/>
      <c r="AQ56" s="172"/>
      <c r="AR56" s="173"/>
      <c r="AS56" s="174"/>
      <c r="AT56" s="171"/>
      <c r="AU56" s="171"/>
      <c r="AV56" s="174"/>
      <c r="AW56" s="171"/>
      <c r="AX56" s="171"/>
      <c r="AY56" s="174"/>
      <c r="AZ56" s="108"/>
      <c r="BA56" s="108"/>
    </row>
    <row r="57" spans="2:53" ht="15">
      <c r="H57" s="126"/>
      <c r="I57" s="55"/>
      <c r="J57" s="40"/>
      <c r="K57" s="59"/>
      <c r="L57" s="55"/>
      <c r="M57" s="42"/>
      <c r="N57" s="42"/>
      <c r="O57" s="42"/>
      <c r="P57" s="55"/>
      <c r="Q57" s="40"/>
      <c r="R57" s="55"/>
      <c r="S57" s="55"/>
      <c r="T57" s="42"/>
      <c r="U57" s="42"/>
      <c r="V57" s="56"/>
      <c r="W57" s="50"/>
      <c r="X57" s="48"/>
      <c r="Y57" s="383"/>
      <c r="Z57" s="383"/>
      <c r="AA57" s="383"/>
      <c r="AB57" s="383"/>
      <c r="AC57" s="383"/>
      <c r="AD57" s="54"/>
      <c r="AE57" s="113"/>
      <c r="AN57" s="176"/>
      <c r="AO57" s="285"/>
      <c r="AP57" s="285"/>
      <c r="AQ57" s="172"/>
      <c r="AR57" s="173"/>
      <c r="AS57" s="174"/>
      <c r="AT57" s="171"/>
      <c r="AU57" s="171"/>
      <c r="AV57" s="174"/>
      <c r="AW57" s="171"/>
      <c r="AX57" s="171"/>
      <c r="AY57" s="174"/>
      <c r="AZ57" s="108"/>
      <c r="BA57" s="108"/>
    </row>
    <row r="58" spans="2:53" ht="15">
      <c r="H58" s="126"/>
      <c r="I58" s="369" t="str">
        <f>IF(I39="2ª Meia Final-Jogador1",CONCATENATE("Vencido do jogo ",H39),IF(I39=C38,C40,C38))</f>
        <v>Vencido do jogo 27</v>
      </c>
      <c r="J58" s="369"/>
      <c r="K58" s="370"/>
      <c r="L58" s="69"/>
      <c r="M58" s="69"/>
      <c r="N58" s="70"/>
      <c r="O58" s="38" t="str">
        <f>IF(COUNT(L58:N58)&lt;1,"",IF(SUM(IF(L58&gt;L62,1,0),IF(M58&gt;M62,1,0),IF(N58&gt;N62,1,0))&gt;2,"??",SUM(IF(L58&gt;L62,1,0),IF(M58&gt;M62,1,0),IF(N58&gt;N62,1,0))))</f>
        <v/>
      </c>
      <c r="P58" s="371" t="str">
        <f>IF(P60="Disputa 5º/6º Jogador2","Disputa 7º/8º  Jogador2",IF(P60=I58,I62,I58))</f>
        <v>Disputa 7º/8º  Jogador2</v>
      </c>
      <c r="Q58" s="372"/>
      <c r="R58" s="373"/>
      <c r="S58" s="69"/>
      <c r="T58" s="69"/>
      <c r="U58" s="69"/>
      <c r="V58" s="49" t="str">
        <f>IF(COUNT(S58:U58)&lt;1,"",IF(SUM(IF(S54&lt;S58,1,0),IF(T54&lt;T58,1,0),IF(U54&lt;U58,1,0))&gt;2,"??",SUM(IF(S54&lt;S58,1,0),IF(T54&lt;T58,1,0),IF(U54&lt;U58,1,0))))</f>
        <v/>
      </c>
      <c r="W58" s="50"/>
      <c r="X58" s="48"/>
      <c r="Y58" s="53"/>
      <c r="Z58" s="53"/>
      <c r="AA58" s="53"/>
      <c r="AB58" s="57"/>
      <c r="AC58" s="57"/>
      <c r="AD58" s="58"/>
      <c r="AE58" s="113"/>
      <c r="AN58" s="176"/>
      <c r="AO58" s="285"/>
      <c r="AP58" s="285"/>
      <c r="AQ58" s="172"/>
      <c r="AR58" s="173"/>
      <c r="AS58" s="174"/>
      <c r="AT58" s="171"/>
      <c r="AU58" s="171"/>
      <c r="AV58" s="174"/>
      <c r="AW58" s="171"/>
      <c r="AX58" s="171"/>
      <c r="AY58" s="174"/>
      <c r="AZ58" s="108"/>
      <c r="BA58" s="108"/>
    </row>
    <row r="59" spans="2:53">
      <c r="H59" s="126"/>
      <c r="I59" s="55"/>
      <c r="J59" s="40"/>
      <c r="K59" s="59"/>
      <c r="L59" s="55"/>
      <c r="M59" s="41"/>
      <c r="N59" s="41"/>
      <c r="O59" s="42"/>
      <c r="P59" s="36"/>
      <c r="Q59" s="51"/>
      <c r="R59" s="46"/>
      <c r="S59" s="55"/>
      <c r="T59" s="42"/>
      <c r="U59" s="42"/>
      <c r="V59" s="67"/>
      <c r="W59" s="50"/>
      <c r="X59" s="48"/>
      <c r="Y59" s="53"/>
      <c r="Z59" s="53"/>
      <c r="AA59" s="53"/>
      <c r="AB59" s="53"/>
      <c r="AC59" s="53"/>
      <c r="AD59" s="54"/>
      <c r="AE59" s="113"/>
    </row>
    <row r="60" spans="2:53" ht="15">
      <c r="H60" s="126"/>
      <c r="I60" s="55"/>
      <c r="J60" s="40"/>
      <c r="K60" s="59"/>
      <c r="L60" s="55"/>
      <c r="M60" s="42"/>
      <c r="N60" s="42"/>
      <c r="O60" s="64">
        <v>34</v>
      </c>
      <c r="P60" s="374" t="str">
        <f>IF(OR(O58="",O62="")=TRUE,"Disputa 5º/6º Jogador2",IF(O58&gt;O62,I58,I62))</f>
        <v>Disputa 5º/6º Jogador2</v>
      </c>
      <c r="Q60" s="369"/>
      <c r="R60" s="369"/>
      <c r="S60" s="370"/>
      <c r="T60" s="69"/>
      <c r="U60" s="69"/>
      <c r="V60" s="69"/>
      <c r="W60" s="45" t="str">
        <f>IF(COUNT(T60:V60)&lt;1,"",IF(SUM(IF(T52&lt;T60,1,0),IF(U52&lt;U60,1,0),IF(V52&lt;V60,1,0))&gt;2,"??",SUM(IF(T52&lt;T60,1,0),IF(U52&lt;U60,1,0),IF(V52&lt;V60,1,0))))</f>
        <v/>
      </c>
      <c r="X60" s="48"/>
      <c r="Y60" s="53"/>
      <c r="Z60" s="53"/>
      <c r="AA60" s="53"/>
      <c r="AB60" s="53"/>
      <c r="AC60" s="53"/>
      <c r="AD60" s="54"/>
      <c r="AE60" s="113"/>
    </row>
    <row r="61" spans="2:53" ht="15" customHeight="1">
      <c r="H61" s="126"/>
      <c r="I61" s="55"/>
      <c r="J61" s="40"/>
      <c r="K61" s="59"/>
      <c r="L61" s="55"/>
      <c r="M61" s="42"/>
      <c r="N61" s="42"/>
      <c r="O61" s="42"/>
      <c r="P61" s="36"/>
      <c r="Q61" s="40"/>
      <c r="R61" s="55"/>
      <c r="S61" s="46"/>
      <c r="T61" s="55"/>
      <c r="U61" s="55"/>
      <c r="V61" s="60"/>
      <c r="W61" s="53"/>
      <c r="X61" s="48"/>
      <c r="Y61" s="53"/>
      <c r="Z61" s="53"/>
      <c r="AA61" s="53"/>
      <c r="AB61" s="53"/>
      <c r="AC61" s="53"/>
      <c r="AD61" s="54"/>
      <c r="AE61" s="113"/>
    </row>
    <row r="62" spans="2:53" ht="15">
      <c r="H62" s="126"/>
      <c r="I62" s="369" t="str">
        <f>IF(I43="2ª Meia Final-Jogador2",CONCATENATE("Vencido do jogo ",H43),IF(I43=C42,C44,C42))</f>
        <v>Vencido do jogo 28</v>
      </c>
      <c r="J62" s="369"/>
      <c r="K62" s="370"/>
      <c r="L62" s="69"/>
      <c r="M62" s="69"/>
      <c r="N62" s="70"/>
      <c r="O62" s="35" t="str">
        <f>IF(COUNT(L62:N62)&lt;1,"",IF(SUM(IF(L58&lt;L62,1,0),IF(M58&lt;M62,1,0),IF(N58&lt;N62,1,0))&gt;2,"??",SUM(IF(L58&lt;L62,1,0),IF(M58&lt;M62,1,0),IF(N58&lt;N62,1,0))))</f>
        <v/>
      </c>
      <c r="P62" s="36"/>
      <c r="Q62" s="40"/>
      <c r="R62" s="55"/>
      <c r="S62" s="55"/>
      <c r="T62" s="55"/>
      <c r="U62" s="55"/>
      <c r="V62" s="55"/>
      <c r="W62" s="54"/>
      <c r="X62" s="68"/>
      <c r="Y62" s="54"/>
      <c r="Z62" s="54"/>
      <c r="AA62" s="54"/>
      <c r="AB62" s="54"/>
      <c r="AC62" s="54"/>
      <c r="AD62" s="54"/>
      <c r="AE62" s="113"/>
    </row>
    <row r="63" spans="2:53">
      <c r="H63" s="128"/>
      <c r="I63" s="168"/>
      <c r="J63" s="169"/>
      <c r="K63" s="168"/>
      <c r="L63" s="170"/>
      <c r="M63" s="168"/>
      <c r="N63" s="168"/>
      <c r="O63" s="168"/>
      <c r="P63" s="168"/>
      <c r="Q63" s="169"/>
      <c r="R63" s="168"/>
      <c r="S63" s="168"/>
      <c r="T63" s="168"/>
      <c r="U63" s="168"/>
      <c r="V63" s="168"/>
      <c r="W63" s="122"/>
      <c r="X63" s="123"/>
      <c r="Y63" s="122"/>
      <c r="Z63" s="122"/>
      <c r="AA63" s="122"/>
      <c r="AB63" s="122"/>
      <c r="AC63" s="122"/>
      <c r="AD63" s="122"/>
      <c r="AE63" s="124"/>
    </row>
    <row r="64" spans="2:53" ht="6" customHeight="1">
      <c r="H64" s="54"/>
    </row>
    <row r="65" spans="4:53" ht="13.5" thickBot="1">
      <c r="D65" s="54"/>
      <c r="H65" s="125"/>
      <c r="I65" s="61"/>
      <c r="J65" s="167"/>
      <c r="K65" s="61"/>
      <c r="L65" s="61"/>
      <c r="M65" s="61"/>
      <c r="N65" s="61"/>
      <c r="O65" s="61"/>
      <c r="P65" s="61"/>
      <c r="Q65" s="167"/>
      <c r="R65" s="61"/>
      <c r="S65" s="61"/>
      <c r="T65" s="61"/>
      <c r="U65" s="61"/>
      <c r="V65" s="61"/>
      <c r="W65" s="61"/>
      <c r="X65" s="167"/>
      <c r="Y65" s="61"/>
      <c r="Z65" s="61"/>
      <c r="AA65" s="61"/>
      <c r="AB65" s="61"/>
      <c r="AC65" s="61"/>
      <c r="AD65" s="61"/>
      <c r="AE65" s="3"/>
      <c r="AN65" s="176"/>
      <c r="AO65" s="285"/>
      <c r="AP65" s="379"/>
      <c r="AQ65" s="379"/>
      <c r="AR65" s="379"/>
      <c r="AS65" s="174"/>
      <c r="AT65" s="171"/>
      <c r="AU65" s="171"/>
      <c r="AV65" s="174"/>
      <c r="AW65" s="171"/>
      <c r="AX65" s="171"/>
      <c r="AY65" s="174"/>
    </row>
    <row r="66" spans="4:53">
      <c r="D66" s="54"/>
      <c r="H66" s="126"/>
      <c r="I66" s="388" t="s">
        <v>55</v>
      </c>
      <c r="J66" s="388"/>
      <c r="K66" s="388"/>
      <c r="L66" s="388"/>
      <c r="M66" s="388"/>
      <c r="N66" s="388"/>
      <c r="O66" s="388"/>
      <c r="P66" s="388"/>
      <c r="Q66" s="388"/>
      <c r="R66" s="388"/>
      <c r="S66" s="388"/>
      <c r="T66" s="388"/>
      <c r="U66" s="388"/>
      <c r="V66" s="388"/>
      <c r="W66" s="388"/>
      <c r="X66" s="68"/>
      <c r="Y66" s="389" t="s">
        <v>0</v>
      </c>
      <c r="Z66" s="390"/>
      <c r="AA66" s="390"/>
      <c r="AB66" s="390"/>
      <c r="AC66" s="390"/>
      <c r="AD66" s="391"/>
      <c r="AE66" s="113"/>
      <c r="AN66" s="176"/>
      <c r="AO66" s="285"/>
      <c r="AP66" s="379"/>
      <c r="AQ66" s="379"/>
      <c r="AR66" s="379"/>
      <c r="AS66" s="174"/>
      <c r="AT66" s="171"/>
      <c r="AU66" s="171"/>
      <c r="AV66" s="174"/>
      <c r="AW66" s="171"/>
      <c r="AX66" s="171"/>
      <c r="AY66" s="174"/>
    </row>
    <row r="67" spans="4:53" ht="13.5" thickBot="1">
      <c r="D67" s="54"/>
      <c r="H67" s="126"/>
      <c r="I67" s="388"/>
      <c r="J67" s="388"/>
      <c r="K67" s="388"/>
      <c r="L67" s="388"/>
      <c r="M67" s="388"/>
      <c r="N67" s="388"/>
      <c r="O67" s="388"/>
      <c r="P67" s="388"/>
      <c r="Q67" s="388"/>
      <c r="R67" s="388"/>
      <c r="S67" s="388"/>
      <c r="T67" s="388"/>
      <c r="U67" s="388"/>
      <c r="V67" s="388"/>
      <c r="W67" s="388"/>
      <c r="X67" s="68"/>
      <c r="Y67" s="392"/>
      <c r="Z67" s="393"/>
      <c r="AA67" s="393"/>
      <c r="AB67" s="393"/>
      <c r="AC67" s="393"/>
      <c r="AD67" s="394"/>
      <c r="AE67" s="113"/>
      <c r="AN67" s="176"/>
      <c r="AO67" s="285"/>
      <c r="AP67" s="379"/>
      <c r="AQ67" s="379"/>
      <c r="AR67" s="379"/>
      <c r="AS67" s="174"/>
      <c r="AT67" s="171"/>
      <c r="AU67" s="171"/>
      <c r="AV67" s="174"/>
      <c r="AW67" s="171"/>
      <c r="AX67" s="171"/>
      <c r="AY67" s="174"/>
    </row>
    <row r="68" spans="4:53" ht="15.75">
      <c r="H68" s="126"/>
      <c r="I68" s="369" t="str">
        <f>IF(D14="","3º  do Grupo A",D14)</f>
        <v>3º  do Grupo A</v>
      </c>
      <c r="J68" s="369"/>
      <c r="K68" s="370"/>
      <c r="L68" s="69"/>
      <c r="M68" s="69"/>
      <c r="N68" s="70"/>
      <c r="O68" s="38" t="str">
        <f>IF(COUNT(L68:N68)&lt;1,"",IF(SUM(IF(L68&gt;L72,1,0),IF(M68&gt;M72,1,0),IF(N68&gt;N72,1,0))&gt;2,"??",SUM(IF(L68&gt;L72,1,0),IF(M68&gt;M72,1,0),IF(N68&gt;N72,1,0))))</f>
        <v/>
      </c>
      <c r="P68" s="55"/>
      <c r="Q68" s="40"/>
      <c r="R68" s="55"/>
      <c r="S68" s="55"/>
      <c r="T68" s="55"/>
      <c r="U68" s="55"/>
      <c r="V68" s="55"/>
      <c r="W68" s="54"/>
      <c r="X68" s="68"/>
      <c r="Y68" s="395" t="str">
        <f>IF(X74="9º Classificado","",X74)</f>
        <v/>
      </c>
      <c r="Z68" s="396"/>
      <c r="AA68" s="396"/>
      <c r="AB68" s="396"/>
      <c r="AC68" s="396"/>
      <c r="AD68" s="39" t="s">
        <v>56</v>
      </c>
      <c r="AE68" s="113"/>
      <c r="AN68" s="176"/>
      <c r="AO68" s="285"/>
      <c r="AP68" s="379"/>
      <c r="AQ68" s="379"/>
      <c r="AR68" s="379"/>
      <c r="AS68" s="174"/>
      <c r="AT68" s="171"/>
      <c r="AU68" s="171"/>
      <c r="AV68" s="174"/>
      <c r="AW68" s="171"/>
      <c r="AX68" s="171"/>
      <c r="AY68" s="174"/>
    </row>
    <row r="69" spans="4:53" ht="15" customHeight="1">
      <c r="H69" s="126"/>
      <c r="I69" s="55"/>
      <c r="J69" s="40"/>
      <c r="K69" s="59"/>
      <c r="L69" s="55"/>
      <c r="M69" s="41"/>
      <c r="N69" s="41"/>
      <c r="O69" s="42"/>
      <c r="P69" s="36"/>
      <c r="Q69" s="40"/>
      <c r="R69" s="55"/>
      <c r="S69" s="55"/>
      <c r="T69" s="55"/>
      <c r="U69" s="55"/>
      <c r="V69" s="60"/>
      <c r="W69" s="53"/>
      <c r="X69" s="48"/>
      <c r="Y69" s="384" t="str">
        <f>IF(Y68="","",IF(Y68=P70,P78,P70))</f>
        <v/>
      </c>
      <c r="Z69" s="385" t="e">
        <f>IF(#REF!="","",IF(#REF!=W69,"","(2º) "))</f>
        <v>#REF!</v>
      </c>
      <c r="AA69" s="385" t="e">
        <f>IF(#REF!="","",IF(#REF!=X69,"","(2º) "))</f>
        <v>#REF!</v>
      </c>
      <c r="AB69" s="385" t="e">
        <f>IF(#REF!="","",IF(#REF!=Y69,"","(2º) "))</f>
        <v>#REF!</v>
      </c>
      <c r="AC69" s="385" t="e">
        <f>IF(#REF!="","",IF(#REF!=Z69,"","(2º) "))</f>
        <v>#REF!</v>
      </c>
      <c r="AD69" s="43" t="s">
        <v>57</v>
      </c>
      <c r="AE69" s="113"/>
      <c r="AN69" s="176"/>
      <c r="AO69" s="285"/>
      <c r="AP69" s="379"/>
      <c r="AQ69" s="379"/>
      <c r="AR69" s="379"/>
      <c r="AS69" s="174"/>
      <c r="AT69" s="171"/>
      <c r="AU69" s="171"/>
      <c r="AV69" s="174"/>
      <c r="AW69" s="171"/>
      <c r="AX69" s="171"/>
      <c r="AY69" s="174"/>
    </row>
    <row r="70" spans="4:53" ht="15" customHeight="1">
      <c r="H70" s="126"/>
      <c r="I70" s="55"/>
      <c r="J70" s="40"/>
      <c r="K70" s="59"/>
      <c r="L70" s="55"/>
      <c r="M70" s="42"/>
      <c r="N70" s="42"/>
      <c r="O70" s="64">
        <v>37</v>
      </c>
      <c r="P70" s="374" t="str">
        <f>IF(OR(O68="",O72="")=TRUE,"Disputa 9º/10º Jogador1",IF(O68&gt;O72,I68,I72))</f>
        <v>Disputa 9º/10º Jogador1</v>
      </c>
      <c r="Q70" s="369"/>
      <c r="R70" s="369"/>
      <c r="S70" s="370"/>
      <c r="T70" s="69"/>
      <c r="U70" s="69"/>
      <c r="V70" s="69"/>
      <c r="W70" s="45" t="str">
        <f>IF(COUNT(T70:V70)&lt;1,"",IF(SUM(IF(T70&gt;T78,1,0),IF(U70&gt;U78,1,0),IF(V70&gt;V78,1,0))&gt;2,"??",SUM(IF(T70&gt;T78,1,0),IF(U70&gt;U78,1,0),IF(V70&gt;V78,1,0))))</f>
        <v/>
      </c>
      <c r="X70" s="48"/>
      <c r="Y70" s="384" t="str">
        <f>IF(P74="11º Classificado","",P74)</f>
        <v/>
      </c>
      <c r="Z70" s="385"/>
      <c r="AA70" s="385"/>
      <c r="AB70" s="385"/>
      <c r="AC70" s="385"/>
      <c r="AD70" s="43" t="s">
        <v>58</v>
      </c>
      <c r="AE70" s="113"/>
      <c r="AN70" s="176"/>
      <c r="AO70" s="285"/>
      <c r="AP70" s="379"/>
      <c r="AQ70" s="379"/>
      <c r="AR70" s="379"/>
      <c r="AS70" s="174"/>
      <c r="AT70" s="171"/>
      <c r="AU70" s="171"/>
      <c r="AV70" s="174"/>
      <c r="AW70" s="171"/>
      <c r="AX70" s="171"/>
      <c r="AY70" s="174"/>
    </row>
    <row r="71" spans="4:53" ht="15.75" thickBot="1">
      <c r="H71" s="126"/>
      <c r="I71" s="55"/>
      <c r="J71" s="40"/>
      <c r="K71" s="59"/>
      <c r="L71" s="55"/>
      <c r="M71" s="42"/>
      <c r="N71" s="42"/>
      <c r="O71" s="42"/>
      <c r="P71" s="36"/>
      <c r="Q71" s="40"/>
      <c r="R71" s="55"/>
      <c r="S71" s="46"/>
      <c r="T71" s="42"/>
      <c r="U71" s="42"/>
      <c r="V71" s="67"/>
      <c r="W71" s="47"/>
      <c r="X71" s="48"/>
      <c r="Y71" s="386" t="str">
        <f>IF(Y70="","",IF(Y70=P72,P76,P72))</f>
        <v/>
      </c>
      <c r="Z71" s="387"/>
      <c r="AA71" s="387"/>
      <c r="AB71" s="387"/>
      <c r="AC71" s="387"/>
      <c r="AD71" s="164" t="s">
        <v>59</v>
      </c>
      <c r="AE71" s="113"/>
      <c r="AN71" s="176"/>
      <c r="AO71" s="285"/>
      <c r="AP71" s="379"/>
      <c r="AQ71" s="379"/>
      <c r="AR71" s="379"/>
      <c r="AS71" s="174"/>
      <c r="AT71" s="171"/>
      <c r="AU71" s="171"/>
      <c r="AV71" s="174"/>
      <c r="AW71" s="171"/>
      <c r="AX71" s="171"/>
      <c r="AY71" s="174"/>
    </row>
    <row r="72" spans="4:53" ht="15">
      <c r="H72" s="126"/>
      <c r="I72" s="369" t="str">
        <f>IF(K14="","3º  do Grupo B",K14)</f>
        <v>3º  do Grupo B</v>
      </c>
      <c r="J72" s="369"/>
      <c r="K72" s="370"/>
      <c r="L72" s="69"/>
      <c r="M72" s="69"/>
      <c r="N72" s="70"/>
      <c r="O72" s="35" t="str">
        <f>IF(COUNT(L72:N72)&lt;1,"",IF(SUM(IF(L68&lt;L72,1,0),IF(M68&lt;M72,1,0),IF(N68&lt;N72,1,0))&gt;2,"??",SUM(IF(L68&lt;L72,1,0),IF(M68&lt;M72,1,0),IF(N68&lt;N72,1,0))))</f>
        <v/>
      </c>
      <c r="P72" s="376" t="str">
        <f>IF(P70="Disputa 9º/10º Jogador1","Disputa 11º/12º  Jogador1",IF(P70=I68,I72,I68))</f>
        <v>Disputa 11º/12º  Jogador1</v>
      </c>
      <c r="Q72" s="377"/>
      <c r="R72" s="378"/>
      <c r="S72" s="69"/>
      <c r="T72" s="69"/>
      <c r="U72" s="69"/>
      <c r="V72" s="49" t="str">
        <f>IF(COUNT(S72:U72)&lt;1,"",IF(SUM(IF(S72&gt;S76,1,0),IF(T72&gt;T76,1,0),IF(U72&gt;U76,1,0))&gt;2,"??",SUM(IF(S72&gt;S76,1,0),IF(T72&gt;T76,1,0),IF(U72&gt;U76,1,0))))</f>
        <v/>
      </c>
      <c r="W72" s="50"/>
      <c r="X72" s="48"/>
      <c r="Y72" s="53"/>
      <c r="Z72" s="53"/>
      <c r="AA72" s="53"/>
      <c r="AB72" s="53"/>
      <c r="AC72" s="53"/>
      <c r="AD72" s="54"/>
      <c r="AE72" s="113"/>
      <c r="AN72" s="176"/>
      <c r="AO72" s="285"/>
      <c r="AP72" s="379"/>
      <c r="AQ72" s="379"/>
      <c r="AR72" s="379"/>
      <c r="AS72" s="174"/>
      <c r="AT72" s="171"/>
      <c r="AU72" s="171"/>
      <c r="AV72" s="174"/>
      <c r="AW72" s="171"/>
      <c r="AX72" s="171"/>
      <c r="AY72" s="174"/>
    </row>
    <row r="73" spans="4:53" ht="12.75" customHeight="1">
      <c r="H73" s="126"/>
      <c r="I73" s="55"/>
      <c r="J73" s="40"/>
      <c r="K73" s="59"/>
      <c r="L73" s="46"/>
      <c r="M73" s="42"/>
      <c r="N73" s="42"/>
      <c r="O73" s="42"/>
      <c r="P73" s="55"/>
      <c r="Q73" s="51"/>
      <c r="R73" s="46"/>
      <c r="S73" s="46"/>
      <c r="T73" s="41"/>
      <c r="U73" s="41"/>
      <c r="V73" s="52"/>
      <c r="W73" s="50"/>
      <c r="X73" s="48"/>
      <c r="Y73" s="53"/>
      <c r="Z73" s="53"/>
      <c r="AA73" s="53"/>
      <c r="AB73" s="53"/>
      <c r="AC73" s="53"/>
      <c r="AD73" s="54"/>
      <c r="AE73" s="113"/>
      <c r="AN73" s="176"/>
      <c r="AO73" s="285"/>
      <c r="AP73" s="285"/>
      <c r="AQ73" s="172"/>
      <c r="AR73" s="173"/>
      <c r="AS73" s="174"/>
      <c r="AT73" s="171"/>
      <c r="AU73" s="171"/>
      <c r="AV73" s="174"/>
      <c r="AW73" s="171"/>
      <c r="AX73" s="171"/>
      <c r="AY73" s="174"/>
      <c r="AZ73" s="108"/>
      <c r="BA73" s="108"/>
    </row>
    <row r="74" spans="4:53" ht="15.75">
      <c r="H74" s="126"/>
      <c r="I74" s="55"/>
      <c r="J74" s="40"/>
      <c r="K74" s="59"/>
      <c r="L74" s="55"/>
      <c r="M74" s="42"/>
      <c r="N74" s="42"/>
      <c r="O74" s="42"/>
      <c r="P74" s="380" t="str">
        <f>IF(OR(V72="",V76="")=TRUE,"11º Classificado",IF(V72&gt;V76,P72,P76))</f>
        <v>11º Classificado</v>
      </c>
      <c r="Q74" s="380"/>
      <c r="R74" s="380"/>
      <c r="S74" s="380"/>
      <c r="T74" s="380"/>
      <c r="U74" s="380"/>
      <c r="V74" s="65">
        <v>39</v>
      </c>
      <c r="W74" s="66">
        <v>40</v>
      </c>
      <c r="X74" s="381" t="str">
        <f>IF(OR(W70="",W78="")=TRUE,"9º Classificado",IF(W70&gt;W78,P70,P78))</f>
        <v>9º Classificado</v>
      </c>
      <c r="Y74" s="382"/>
      <c r="Z74" s="382"/>
      <c r="AA74" s="382"/>
      <c r="AB74" s="382"/>
      <c r="AC74" s="382"/>
      <c r="AD74" s="54"/>
      <c r="AE74" s="113"/>
      <c r="AN74" s="176"/>
      <c r="AO74" s="285"/>
      <c r="AP74" s="285"/>
      <c r="AQ74" s="172"/>
      <c r="AR74" s="173"/>
      <c r="AS74" s="174"/>
      <c r="AT74" s="171"/>
      <c r="AU74" s="171"/>
      <c r="AV74" s="174"/>
      <c r="AW74" s="171"/>
      <c r="AX74" s="171"/>
      <c r="AY74" s="174"/>
      <c r="AZ74" s="108"/>
      <c r="BA74" s="108"/>
    </row>
    <row r="75" spans="4:53" ht="15">
      <c r="H75" s="126"/>
      <c r="I75" s="55"/>
      <c r="J75" s="40"/>
      <c r="K75" s="59"/>
      <c r="L75" s="55"/>
      <c r="M75" s="42"/>
      <c r="N75" s="42"/>
      <c r="O75" s="42"/>
      <c r="P75" s="55"/>
      <c r="Q75" s="40"/>
      <c r="R75" s="55"/>
      <c r="S75" s="55"/>
      <c r="T75" s="42"/>
      <c r="U75" s="42"/>
      <c r="V75" s="56"/>
      <c r="W75" s="50"/>
      <c r="X75" s="48"/>
      <c r="Y75" s="383"/>
      <c r="Z75" s="383"/>
      <c r="AA75" s="383"/>
      <c r="AB75" s="383"/>
      <c r="AC75" s="383"/>
      <c r="AD75" s="54"/>
      <c r="AE75" s="113"/>
      <c r="AN75" s="176"/>
      <c r="AO75" s="285"/>
      <c r="AP75" s="285"/>
      <c r="AQ75" s="172"/>
      <c r="AR75" s="173"/>
      <c r="AS75" s="174"/>
      <c r="AT75" s="171"/>
      <c r="AU75" s="171"/>
      <c r="AV75" s="174"/>
      <c r="AW75" s="171"/>
      <c r="AX75" s="171"/>
      <c r="AY75" s="174"/>
      <c r="AZ75" s="108"/>
      <c r="BA75" s="108"/>
    </row>
    <row r="76" spans="4:53" ht="15">
      <c r="H76" s="126"/>
      <c r="I76" s="369" t="str">
        <f>IF(R14="","3º  do Grupo C",R14)</f>
        <v>3º  do Grupo C</v>
      </c>
      <c r="J76" s="369"/>
      <c r="K76" s="370"/>
      <c r="L76" s="69"/>
      <c r="M76" s="69"/>
      <c r="N76" s="70"/>
      <c r="O76" s="38" t="str">
        <f>IF(COUNT(L76:N76)&lt;1,"",IF(SUM(IF(L76&gt;L80,1,0),IF(M76&gt;M80,1,0),IF(N76&gt;N80,1,0))&gt;2,"??",SUM(IF(L76&gt;L80,1,0),IF(M76&gt;M80,1,0),IF(N76&gt;N80,1,0))))</f>
        <v/>
      </c>
      <c r="P76" s="371" t="str">
        <f>IF(P78="Disputa 9º/10º Jogador2","Disputa 11º/12º  Jogador2",IF(P78=I76,I80,I76))</f>
        <v>Disputa 11º/12º  Jogador2</v>
      </c>
      <c r="Q76" s="372"/>
      <c r="R76" s="373"/>
      <c r="S76" s="69"/>
      <c r="T76" s="69"/>
      <c r="U76" s="69"/>
      <c r="V76" s="49" t="str">
        <f>IF(COUNT(S76:U76)&lt;1,"",IF(SUM(IF(S72&lt;S76,1,0),IF(T72&lt;T76,1,0),IF(U72&lt;U76,1,0))&gt;2,"??",SUM(IF(S72&lt;S76,1,0),IF(T72&lt;T76,1,0),IF(U72&lt;U76,1,0))))</f>
        <v/>
      </c>
      <c r="W76" s="50"/>
      <c r="X76" s="48"/>
      <c r="Y76" s="53"/>
      <c r="Z76" s="53"/>
      <c r="AA76" s="53"/>
      <c r="AB76" s="57"/>
      <c r="AC76" s="57"/>
      <c r="AD76" s="58"/>
      <c r="AE76" s="113"/>
      <c r="AN76" s="176"/>
      <c r="AO76" s="285"/>
      <c r="AP76" s="285"/>
      <c r="AQ76" s="172"/>
      <c r="AR76" s="173"/>
      <c r="AS76" s="174"/>
      <c r="AT76" s="171"/>
      <c r="AU76" s="171"/>
      <c r="AV76" s="174"/>
      <c r="AW76" s="171"/>
      <c r="AX76" s="171"/>
      <c r="AY76" s="174"/>
      <c r="AZ76" s="108"/>
      <c r="BA76" s="108"/>
    </row>
    <row r="77" spans="4:53">
      <c r="H77" s="126"/>
      <c r="I77" s="55"/>
      <c r="J77" s="40"/>
      <c r="K77" s="59"/>
      <c r="L77" s="55"/>
      <c r="M77" s="41"/>
      <c r="N77" s="41"/>
      <c r="O77" s="42"/>
      <c r="P77" s="36"/>
      <c r="Q77" s="51"/>
      <c r="R77" s="46"/>
      <c r="S77" s="55"/>
      <c r="T77" s="42"/>
      <c r="U77" s="42"/>
      <c r="V77" s="67"/>
      <c r="W77" s="50"/>
      <c r="X77" s="48"/>
      <c r="Y77" s="53"/>
      <c r="Z77" s="53"/>
      <c r="AA77" s="53"/>
      <c r="AB77" s="53"/>
      <c r="AC77" s="53"/>
      <c r="AD77" s="54"/>
      <c r="AE77" s="113"/>
    </row>
    <row r="78" spans="4:53" ht="15">
      <c r="H78" s="126"/>
      <c r="I78" s="55"/>
      <c r="J78" s="40"/>
      <c r="K78" s="59"/>
      <c r="L78" s="55"/>
      <c r="M78" s="42"/>
      <c r="N78" s="42"/>
      <c r="O78" s="64">
        <v>38</v>
      </c>
      <c r="P78" s="374" t="str">
        <f>IF(OR(O76="",O80="")=TRUE,"Disputa 9º/10º Jogador2",IF(O76&gt;O80,I76,I80))</f>
        <v>Disputa 9º/10º Jogador2</v>
      </c>
      <c r="Q78" s="369"/>
      <c r="R78" s="369"/>
      <c r="S78" s="370"/>
      <c r="T78" s="69"/>
      <c r="U78" s="69"/>
      <c r="V78" s="69"/>
      <c r="W78" s="45" t="str">
        <f>IF(COUNT(T78:V78)&lt;1,"",IF(SUM(IF(T70&lt;T78,1,0),IF(U70&lt;U78,1,0),IF(V70&lt;V78,1,0))&gt;2,"??",SUM(IF(T70&lt;T78,1,0),IF(U70&lt;U78,1,0),IF(V70&lt;V78,1,0))))</f>
        <v/>
      </c>
      <c r="X78" s="48"/>
      <c r="Y78" s="53"/>
      <c r="Z78" s="53"/>
      <c r="AA78" s="53"/>
      <c r="AB78" s="53"/>
      <c r="AC78" s="53"/>
      <c r="AD78" s="54"/>
      <c r="AE78" s="113"/>
    </row>
    <row r="79" spans="4:53" ht="15" customHeight="1">
      <c r="H79" s="126"/>
      <c r="I79" s="55"/>
      <c r="J79" s="40"/>
      <c r="K79" s="59"/>
      <c r="L79" s="55"/>
      <c r="M79" s="42"/>
      <c r="N79" s="42"/>
      <c r="O79" s="42"/>
      <c r="P79" s="36"/>
      <c r="Q79" s="40"/>
      <c r="R79" s="55"/>
      <c r="S79" s="46"/>
      <c r="T79" s="55"/>
      <c r="U79" s="55"/>
      <c r="V79" s="60"/>
      <c r="W79" s="53"/>
      <c r="X79" s="48"/>
      <c r="Y79" s="53"/>
      <c r="Z79" s="53"/>
      <c r="AA79" s="53"/>
      <c r="AB79" s="53"/>
      <c r="AC79" s="53"/>
      <c r="AD79" s="54"/>
      <c r="AE79" s="113"/>
    </row>
    <row r="80" spans="4:53" ht="15">
      <c r="H80" s="126"/>
      <c r="I80" s="369" t="str">
        <f>IF(Y14="","3º  do Grupo D",Y14)</f>
        <v>3º  do Grupo D</v>
      </c>
      <c r="J80" s="369"/>
      <c r="K80" s="370"/>
      <c r="L80" s="69"/>
      <c r="M80" s="69"/>
      <c r="N80" s="70"/>
      <c r="O80" s="35" t="str">
        <f>IF(COUNT(L80:N80)&lt;1,"",IF(SUM(IF(L76&lt;L80,1,0),IF(M76&lt;M80,1,0),IF(N76&lt;N80,1,0))&gt;2,"??",SUM(IF(L76&lt;L80,1,0),IF(M76&lt;M80,1,0),IF(N76&lt;N80,1,0))))</f>
        <v/>
      </c>
      <c r="P80" s="36"/>
      <c r="Q80" s="40"/>
      <c r="R80" s="55"/>
      <c r="S80" s="55"/>
      <c r="T80" s="55"/>
      <c r="U80" s="55"/>
      <c r="V80" s="55"/>
      <c r="W80" s="54"/>
      <c r="X80" s="68"/>
      <c r="Y80" s="54"/>
      <c r="Z80" s="54"/>
      <c r="AA80" s="54"/>
      <c r="AB80" s="54"/>
      <c r="AC80" s="54"/>
      <c r="AD80" s="54"/>
      <c r="AE80" s="113"/>
    </row>
    <row r="81" spans="4:53">
      <c r="H81" s="128"/>
      <c r="I81" s="168"/>
      <c r="J81" s="169"/>
      <c r="K81" s="168"/>
      <c r="L81" s="170"/>
      <c r="M81" s="168"/>
      <c r="N81" s="168"/>
      <c r="O81" s="168"/>
      <c r="P81" s="168"/>
      <c r="Q81" s="169"/>
      <c r="R81" s="168"/>
      <c r="S81" s="168"/>
      <c r="T81" s="168"/>
      <c r="U81" s="168"/>
      <c r="V81" s="168"/>
      <c r="W81" s="122"/>
      <c r="X81" s="123"/>
      <c r="Y81" s="122"/>
      <c r="Z81" s="122"/>
      <c r="AA81" s="122"/>
      <c r="AB81" s="122"/>
      <c r="AC81" s="122"/>
      <c r="AD81" s="122"/>
      <c r="AE81" s="124"/>
    </row>
    <row r="82" spans="4:53" ht="6" customHeight="1">
      <c r="H82" s="54"/>
    </row>
    <row r="83" spans="4:53" ht="13.5" thickBot="1">
      <c r="D83" s="54"/>
      <c r="H83" s="125"/>
      <c r="I83" s="61"/>
      <c r="J83" s="167"/>
      <c r="K83" s="61"/>
      <c r="L83" s="61"/>
      <c r="M83" s="61"/>
      <c r="N83" s="61"/>
      <c r="O83" s="61"/>
      <c r="P83" s="61"/>
      <c r="Q83" s="167"/>
      <c r="R83" s="61"/>
      <c r="S83" s="61"/>
      <c r="T83" s="61"/>
      <c r="U83" s="61"/>
      <c r="V83" s="61"/>
      <c r="W83" s="61"/>
      <c r="X83" s="167"/>
      <c r="Y83" s="61"/>
      <c r="Z83" s="61"/>
      <c r="AA83" s="61"/>
      <c r="AB83" s="61"/>
      <c r="AC83" s="61"/>
      <c r="AD83" s="61"/>
      <c r="AE83" s="3"/>
      <c r="AN83" s="176"/>
      <c r="AO83" s="285"/>
      <c r="AP83" s="379"/>
      <c r="AQ83" s="379"/>
      <c r="AR83" s="379"/>
      <c r="AS83" s="174"/>
      <c r="AT83" s="171"/>
      <c r="AU83" s="171"/>
      <c r="AV83" s="174"/>
      <c r="AW83" s="171"/>
      <c r="AX83" s="171"/>
      <c r="AY83" s="174"/>
    </row>
    <row r="84" spans="4:53">
      <c r="D84" s="54"/>
      <c r="H84" s="126"/>
      <c r="I84" s="388" t="s">
        <v>241</v>
      </c>
      <c r="J84" s="388"/>
      <c r="K84" s="388"/>
      <c r="L84" s="388"/>
      <c r="M84" s="388"/>
      <c r="N84" s="388"/>
      <c r="O84" s="388"/>
      <c r="P84" s="388"/>
      <c r="Q84" s="388"/>
      <c r="R84" s="388"/>
      <c r="S84" s="388"/>
      <c r="T84" s="388"/>
      <c r="U84" s="388"/>
      <c r="V84" s="388"/>
      <c r="W84" s="388"/>
      <c r="X84" s="68"/>
      <c r="Y84" s="389" t="s">
        <v>0</v>
      </c>
      <c r="Z84" s="390"/>
      <c r="AA84" s="390"/>
      <c r="AB84" s="390"/>
      <c r="AC84" s="390"/>
      <c r="AD84" s="391"/>
      <c r="AE84" s="113"/>
      <c r="AN84" s="176"/>
      <c r="AO84" s="285"/>
      <c r="AP84" s="379"/>
      <c r="AQ84" s="379"/>
      <c r="AR84" s="379"/>
      <c r="AS84" s="174"/>
      <c r="AT84" s="171"/>
      <c r="AU84" s="171"/>
      <c r="AV84" s="174"/>
      <c r="AW84" s="171"/>
      <c r="AX84" s="171"/>
      <c r="AY84" s="174"/>
    </row>
    <row r="85" spans="4:53" ht="13.5" thickBot="1">
      <c r="D85" s="54"/>
      <c r="H85" s="126"/>
      <c r="I85" s="388"/>
      <c r="J85" s="388"/>
      <c r="K85" s="388"/>
      <c r="L85" s="388"/>
      <c r="M85" s="388"/>
      <c r="N85" s="388"/>
      <c r="O85" s="388"/>
      <c r="P85" s="388"/>
      <c r="Q85" s="388"/>
      <c r="R85" s="388"/>
      <c r="S85" s="388"/>
      <c r="T85" s="388"/>
      <c r="U85" s="388"/>
      <c r="V85" s="388"/>
      <c r="W85" s="388"/>
      <c r="X85" s="68"/>
      <c r="Y85" s="392"/>
      <c r="Z85" s="393"/>
      <c r="AA85" s="393"/>
      <c r="AB85" s="393"/>
      <c r="AC85" s="393"/>
      <c r="AD85" s="394"/>
      <c r="AE85" s="113"/>
      <c r="AN85" s="176"/>
      <c r="AO85" s="285"/>
      <c r="AP85" s="379"/>
      <c r="AQ85" s="379"/>
      <c r="AR85" s="379"/>
      <c r="AS85" s="174"/>
      <c r="AT85" s="171"/>
      <c r="AU85" s="171"/>
      <c r="AV85" s="174"/>
      <c r="AW85" s="171"/>
      <c r="AX85" s="171"/>
      <c r="AY85" s="174"/>
    </row>
    <row r="86" spans="4:53" ht="15.75">
      <c r="H86" s="126"/>
      <c r="I86" s="369" t="str">
        <f>IF(D15="","4º  do Grupo A",D15)</f>
        <v>4º  do Grupo A</v>
      </c>
      <c r="J86" s="369"/>
      <c r="K86" s="370"/>
      <c r="L86" s="69"/>
      <c r="M86" s="69"/>
      <c r="N86" s="70"/>
      <c r="O86" s="38" t="str">
        <f>IF(COUNT(L86:N86)&lt;1,"",IF(SUM(IF(L86&gt;L90,1,0),IF(M86&gt;M90,1,0),IF(N86&gt;N90,1,0))&gt;2,"??",SUM(IF(L86&gt;L90,1,0),IF(M86&gt;M90,1,0),IF(N86&gt;N90,1,0))))</f>
        <v/>
      </c>
      <c r="P86" s="55"/>
      <c r="Q86" s="40"/>
      <c r="R86" s="55"/>
      <c r="S86" s="55"/>
      <c r="T86" s="55"/>
      <c r="U86" s="55"/>
      <c r="V86" s="55"/>
      <c r="W86" s="54"/>
      <c r="X86" s="68"/>
      <c r="Y86" s="395" t="str">
        <f>IF(X92="13º Classificado","",X92)</f>
        <v/>
      </c>
      <c r="Z86" s="396"/>
      <c r="AA86" s="396"/>
      <c r="AB86" s="396"/>
      <c r="AC86" s="396"/>
      <c r="AD86" s="39" t="s">
        <v>242</v>
      </c>
      <c r="AE86" s="113"/>
      <c r="AN86" s="176"/>
      <c r="AO86" s="285"/>
      <c r="AP86" s="379"/>
      <c r="AQ86" s="379"/>
      <c r="AR86" s="379"/>
      <c r="AS86" s="174"/>
      <c r="AT86" s="171"/>
      <c r="AU86" s="171"/>
      <c r="AV86" s="174"/>
      <c r="AW86" s="171"/>
      <c r="AX86" s="171"/>
      <c r="AY86" s="174"/>
    </row>
    <row r="87" spans="4:53" ht="15" customHeight="1">
      <c r="H87" s="126"/>
      <c r="I87" s="55"/>
      <c r="J87" s="40"/>
      <c r="K87" s="59"/>
      <c r="L87" s="55"/>
      <c r="M87" s="41"/>
      <c r="N87" s="41"/>
      <c r="O87" s="42"/>
      <c r="P87" s="36"/>
      <c r="Q87" s="40"/>
      <c r="R87" s="55"/>
      <c r="S87" s="55"/>
      <c r="T87" s="55"/>
      <c r="U87" s="55"/>
      <c r="V87" s="60"/>
      <c r="W87" s="53"/>
      <c r="X87" s="48"/>
      <c r="Y87" s="384" t="str">
        <f>IF(Y86="","",IF(Y86=P88,P96,P88))</f>
        <v/>
      </c>
      <c r="Z87" s="385" t="e">
        <f>IF(#REF!="","",IF(#REF!=W87,"","(2º) "))</f>
        <v>#REF!</v>
      </c>
      <c r="AA87" s="385" t="e">
        <f>IF(#REF!="","",IF(#REF!=X87,"","(2º) "))</f>
        <v>#REF!</v>
      </c>
      <c r="AB87" s="385" t="e">
        <f>IF(#REF!="","",IF(#REF!=Y87,"","(2º) "))</f>
        <v>#REF!</v>
      </c>
      <c r="AC87" s="385" t="e">
        <f>IF(#REF!="","",IF(#REF!=Z87,"","(2º) "))</f>
        <v>#REF!</v>
      </c>
      <c r="AD87" s="43" t="s">
        <v>243</v>
      </c>
      <c r="AE87" s="113"/>
      <c r="AN87" s="176"/>
      <c r="AO87" s="285"/>
      <c r="AP87" s="379"/>
      <c r="AQ87" s="379"/>
      <c r="AR87" s="379"/>
      <c r="AS87" s="174"/>
      <c r="AT87" s="171"/>
      <c r="AU87" s="171"/>
      <c r="AV87" s="174"/>
      <c r="AW87" s="171"/>
      <c r="AX87" s="171"/>
      <c r="AY87" s="174"/>
    </row>
    <row r="88" spans="4:53" ht="15" customHeight="1">
      <c r="H88" s="126"/>
      <c r="I88" s="55"/>
      <c r="J88" s="40"/>
      <c r="K88" s="59"/>
      <c r="L88" s="55"/>
      <c r="M88" s="42"/>
      <c r="N88" s="42"/>
      <c r="O88" s="64">
        <v>41</v>
      </c>
      <c r="P88" s="374" t="str">
        <f>IF(OR(O86="",O90="")=TRUE,"Disputa 13º/14º Jogador1",IF(O86&gt;O90,I86,I90))</f>
        <v>Disputa 13º/14º Jogador1</v>
      </c>
      <c r="Q88" s="369"/>
      <c r="R88" s="369"/>
      <c r="S88" s="370"/>
      <c r="T88" s="69"/>
      <c r="U88" s="69"/>
      <c r="V88" s="69"/>
      <c r="W88" s="45" t="str">
        <f>IF(COUNT(T88:V88)&lt;1,"",IF(SUM(IF(T88&gt;T96,1,0),IF(U88&gt;U96,1,0),IF(V88&gt;V96,1,0))&gt;2,"??",SUM(IF(T88&gt;T96,1,0),IF(U88&gt;U96,1,0),IF(V88&gt;V96,1,0))))</f>
        <v/>
      </c>
      <c r="X88" s="48"/>
      <c r="Y88" s="384" t="str">
        <f>IF(P92="15º Classificado","",P92)</f>
        <v/>
      </c>
      <c r="Z88" s="385"/>
      <c r="AA88" s="385"/>
      <c r="AB88" s="385"/>
      <c r="AC88" s="385"/>
      <c r="AD88" s="43" t="s">
        <v>244</v>
      </c>
      <c r="AE88" s="113"/>
      <c r="AN88" s="176"/>
      <c r="AO88" s="285"/>
      <c r="AP88" s="379"/>
      <c r="AQ88" s="379"/>
      <c r="AR88" s="379"/>
      <c r="AS88" s="174"/>
      <c r="AT88" s="171"/>
      <c r="AU88" s="171"/>
      <c r="AV88" s="174"/>
      <c r="AW88" s="171"/>
      <c r="AX88" s="171"/>
      <c r="AY88" s="174"/>
    </row>
    <row r="89" spans="4:53" ht="15.75" thickBot="1">
      <c r="H89" s="126"/>
      <c r="I89" s="55"/>
      <c r="J89" s="40"/>
      <c r="K89" s="59"/>
      <c r="L89" s="55"/>
      <c r="M89" s="42"/>
      <c r="N89" s="42"/>
      <c r="O89" s="42"/>
      <c r="P89" s="36"/>
      <c r="Q89" s="40"/>
      <c r="R89" s="55"/>
      <c r="S89" s="46"/>
      <c r="T89" s="42"/>
      <c r="U89" s="42"/>
      <c r="V89" s="67"/>
      <c r="W89" s="47"/>
      <c r="X89" s="48"/>
      <c r="Y89" s="386" t="str">
        <f>IF(Y88="","",IF(Y88=P90,P94,P90))</f>
        <v/>
      </c>
      <c r="Z89" s="387"/>
      <c r="AA89" s="387"/>
      <c r="AB89" s="387"/>
      <c r="AC89" s="387"/>
      <c r="AD89" s="164" t="s">
        <v>245</v>
      </c>
      <c r="AE89" s="113"/>
      <c r="AN89" s="176"/>
      <c r="AO89" s="285"/>
      <c r="AP89" s="379"/>
      <c r="AQ89" s="379"/>
      <c r="AR89" s="379"/>
      <c r="AS89" s="174"/>
      <c r="AT89" s="171"/>
      <c r="AU89" s="171"/>
      <c r="AV89" s="174"/>
      <c r="AW89" s="171"/>
      <c r="AX89" s="171"/>
      <c r="AY89" s="174"/>
    </row>
    <row r="90" spans="4:53" ht="15">
      <c r="H90" s="126"/>
      <c r="I90" s="369" t="str">
        <f>IF(K15="","4º  do Grupo B",K15)</f>
        <v>4º  do Grupo B</v>
      </c>
      <c r="J90" s="369"/>
      <c r="K90" s="370"/>
      <c r="L90" s="69"/>
      <c r="M90" s="69"/>
      <c r="N90" s="70"/>
      <c r="O90" s="35" t="str">
        <f>IF(COUNT(L90:N90)&lt;1,"",IF(SUM(IF(L86&lt;L90,1,0),IF(M86&lt;M90,1,0),IF(N86&lt;N90,1,0))&gt;2,"??",SUM(IF(L86&lt;L90,1,0),IF(M86&lt;M90,1,0),IF(N86&lt;N90,1,0))))</f>
        <v/>
      </c>
      <c r="P90" s="376" t="str">
        <f>IF(P88="Disputa 13º/14º Jogador1","Disputa 15º/16º  Jogador1",IF(P88=I86,I90,I86))</f>
        <v>Disputa 15º/16º  Jogador1</v>
      </c>
      <c r="Q90" s="377"/>
      <c r="R90" s="378"/>
      <c r="S90" s="69"/>
      <c r="T90" s="69"/>
      <c r="U90" s="69"/>
      <c r="V90" s="49" t="str">
        <f>IF(COUNT(S90:U90)&lt;1,"",IF(SUM(IF(S90&gt;S94,1,0),IF(T90&gt;T94,1,0),IF(U90&gt;U94,1,0))&gt;2,"??",SUM(IF(S90&gt;S94,1,0),IF(T90&gt;T94,1,0),IF(U90&gt;U94,1,0))))</f>
        <v/>
      </c>
      <c r="W90" s="50"/>
      <c r="X90" s="48"/>
      <c r="Y90" s="53"/>
      <c r="Z90" s="53"/>
      <c r="AA90" s="53"/>
      <c r="AB90" s="53"/>
      <c r="AC90" s="53"/>
      <c r="AD90" s="54"/>
      <c r="AE90" s="113"/>
      <c r="AN90" s="176"/>
      <c r="AO90" s="285"/>
      <c r="AP90" s="379"/>
      <c r="AQ90" s="379"/>
      <c r="AR90" s="379"/>
      <c r="AS90" s="174"/>
      <c r="AT90" s="171"/>
      <c r="AU90" s="171"/>
      <c r="AV90" s="174"/>
      <c r="AW90" s="171"/>
      <c r="AX90" s="171"/>
      <c r="AY90" s="174"/>
    </row>
    <row r="91" spans="4:53" ht="12.75" customHeight="1">
      <c r="H91" s="126"/>
      <c r="I91" s="55"/>
      <c r="J91" s="40"/>
      <c r="K91" s="59"/>
      <c r="L91" s="46"/>
      <c r="M91" s="42"/>
      <c r="N91" s="42"/>
      <c r="O91" s="42"/>
      <c r="P91" s="55"/>
      <c r="Q91" s="51"/>
      <c r="R91" s="46"/>
      <c r="S91" s="46"/>
      <c r="T91" s="41"/>
      <c r="U91" s="41"/>
      <c r="V91" s="52"/>
      <c r="W91" s="50"/>
      <c r="X91" s="48"/>
      <c r="Y91" s="53"/>
      <c r="Z91" s="53"/>
      <c r="AA91" s="53"/>
      <c r="AB91" s="53"/>
      <c r="AC91" s="53"/>
      <c r="AD91" s="54"/>
      <c r="AE91" s="113"/>
      <c r="AN91" s="176"/>
      <c r="AO91" s="285"/>
      <c r="AP91" s="285"/>
      <c r="AQ91" s="172"/>
      <c r="AR91" s="173"/>
      <c r="AS91" s="174"/>
      <c r="AT91" s="171"/>
      <c r="AU91" s="171"/>
      <c r="AV91" s="174"/>
      <c r="AW91" s="171"/>
      <c r="AX91" s="171"/>
      <c r="AY91" s="174"/>
      <c r="AZ91" s="108"/>
      <c r="BA91" s="108"/>
    </row>
    <row r="92" spans="4:53" ht="15.75">
      <c r="H92" s="126"/>
      <c r="I92" s="55"/>
      <c r="J92" s="40"/>
      <c r="K92" s="59"/>
      <c r="L92" s="55"/>
      <c r="M92" s="42"/>
      <c r="N92" s="42"/>
      <c r="O92" s="42"/>
      <c r="P92" s="380" t="str">
        <f>IF(OR(V90="",V94="")=TRUE,"15º Classificado",IF(V90&gt;V94,P90,P94))</f>
        <v>15º Classificado</v>
      </c>
      <c r="Q92" s="380"/>
      <c r="R92" s="380"/>
      <c r="S92" s="380"/>
      <c r="T92" s="380"/>
      <c r="U92" s="380"/>
      <c r="V92" s="65">
        <v>43</v>
      </c>
      <c r="W92" s="66">
        <v>44</v>
      </c>
      <c r="X92" s="381" t="str">
        <f>IF(OR(W88="",W96="")=TRUE,"13º Classificado",IF(W88&gt;W96,P88,P96))</f>
        <v>13º Classificado</v>
      </c>
      <c r="Y92" s="382"/>
      <c r="Z92" s="382"/>
      <c r="AA92" s="382"/>
      <c r="AB92" s="382"/>
      <c r="AC92" s="382"/>
      <c r="AD92" s="54"/>
      <c r="AE92" s="113"/>
      <c r="AN92" s="176"/>
      <c r="AO92" s="285"/>
      <c r="AP92" s="285"/>
      <c r="AQ92" s="172"/>
      <c r="AR92" s="173"/>
      <c r="AS92" s="174"/>
      <c r="AT92" s="171"/>
      <c r="AU92" s="171"/>
      <c r="AV92" s="174"/>
      <c r="AW92" s="171"/>
      <c r="AX92" s="171"/>
      <c r="AY92" s="174"/>
      <c r="AZ92" s="108"/>
      <c r="BA92" s="108"/>
    </row>
    <row r="93" spans="4:53" ht="15">
      <c r="H93" s="126"/>
      <c r="I93" s="55"/>
      <c r="J93" s="40"/>
      <c r="K93" s="59"/>
      <c r="L93" s="55"/>
      <c r="M93" s="42"/>
      <c r="N93" s="42"/>
      <c r="O93" s="42"/>
      <c r="P93" s="55"/>
      <c r="Q93" s="40"/>
      <c r="R93" s="55"/>
      <c r="S93" s="55"/>
      <c r="T93" s="42"/>
      <c r="U93" s="42"/>
      <c r="V93" s="56"/>
      <c r="W93" s="50"/>
      <c r="X93" s="48"/>
      <c r="Y93" s="383"/>
      <c r="Z93" s="383"/>
      <c r="AA93" s="383"/>
      <c r="AB93" s="383"/>
      <c r="AC93" s="383"/>
      <c r="AD93" s="54"/>
      <c r="AE93" s="113"/>
      <c r="AN93" s="176"/>
      <c r="AO93" s="285"/>
      <c r="AP93" s="285"/>
      <c r="AQ93" s="172"/>
      <c r="AR93" s="173"/>
      <c r="AS93" s="174"/>
      <c r="AT93" s="171"/>
      <c r="AU93" s="171"/>
      <c r="AV93" s="174"/>
      <c r="AW93" s="171"/>
      <c r="AX93" s="171"/>
      <c r="AY93" s="174"/>
      <c r="AZ93" s="108"/>
      <c r="BA93" s="108"/>
    </row>
    <row r="94" spans="4:53" ht="15">
      <c r="H94" s="126"/>
      <c r="I94" s="369" t="str">
        <f>IF(R15="","4º  do Grupo C",R15)</f>
        <v>4º  do Grupo C</v>
      </c>
      <c r="J94" s="369"/>
      <c r="K94" s="370"/>
      <c r="L94" s="69"/>
      <c r="M94" s="69"/>
      <c r="N94" s="70"/>
      <c r="O94" s="38" t="str">
        <f>IF(COUNT(L94:N94)&lt;1,"",IF(SUM(IF(L94&gt;L98,1,0),IF(M94&gt;M98,1,0),IF(N94&gt;N98,1,0))&gt;2,"??",SUM(IF(L94&gt;L98,1,0),IF(M94&gt;M98,1,0),IF(N94&gt;N98,1,0))))</f>
        <v/>
      </c>
      <c r="P94" s="371" t="str">
        <f>IF(P96="Disputa 13º/14º Jogador2","Disputa 15º/16º  Jogador2",IF(P96=I94,I98,I94))</f>
        <v>Disputa 15º/16º  Jogador2</v>
      </c>
      <c r="Q94" s="372"/>
      <c r="R94" s="373"/>
      <c r="S94" s="69"/>
      <c r="T94" s="69"/>
      <c r="U94" s="69"/>
      <c r="V94" s="49" t="str">
        <f>IF(COUNT(S94:U94)&lt;1,"",IF(SUM(IF(S90&lt;S94,1,0),IF(T90&lt;T94,1,0),IF(U90&lt;U94,1,0))&gt;2,"??",SUM(IF(S90&lt;S94,1,0),IF(T90&lt;T94,1,0),IF(U90&lt;U94,1,0))))</f>
        <v/>
      </c>
      <c r="W94" s="50"/>
      <c r="X94" s="48"/>
      <c r="Y94" s="53"/>
      <c r="Z94" s="53"/>
      <c r="AA94" s="53"/>
      <c r="AB94" s="57"/>
      <c r="AC94" s="57"/>
      <c r="AD94" s="58"/>
      <c r="AE94" s="113"/>
      <c r="AN94" s="176"/>
      <c r="AO94" s="285"/>
      <c r="AP94" s="285"/>
      <c r="AQ94" s="172"/>
      <c r="AR94" s="173"/>
      <c r="AS94" s="174"/>
      <c r="AT94" s="171"/>
      <c r="AU94" s="171"/>
      <c r="AV94" s="174"/>
      <c r="AW94" s="171"/>
      <c r="AX94" s="171"/>
      <c r="AY94" s="174"/>
      <c r="AZ94" s="108"/>
      <c r="BA94" s="108"/>
    </row>
    <row r="95" spans="4:53">
      <c r="H95" s="126"/>
      <c r="I95" s="55"/>
      <c r="J95" s="40"/>
      <c r="K95" s="59"/>
      <c r="L95" s="55"/>
      <c r="M95" s="41"/>
      <c r="N95" s="41"/>
      <c r="O95" s="42"/>
      <c r="P95" s="36"/>
      <c r="Q95" s="51"/>
      <c r="R95" s="46"/>
      <c r="S95" s="55"/>
      <c r="T95" s="42"/>
      <c r="U95" s="42"/>
      <c r="V95" s="67"/>
      <c r="W95" s="50"/>
      <c r="X95" s="48"/>
      <c r="Y95" s="53"/>
      <c r="Z95" s="53"/>
      <c r="AA95" s="53"/>
      <c r="AB95" s="53"/>
      <c r="AC95" s="53"/>
      <c r="AD95" s="54"/>
      <c r="AE95" s="113"/>
    </row>
    <row r="96" spans="4:53" ht="15">
      <c r="H96" s="126"/>
      <c r="I96" s="55"/>
      <c r="J96" s="40"/>
      <c r="K96" s="59"/>
      <c r="L96" s="55"/>
      <c r="M96" s="42"/>
      <c r="N96" s="42"/>
      <c r="O96" s="64">
        <v>42</v>
      </c>
      <c r="P96" s="374" t="str">
        <f>IF(OR(O94="",O98="")=TRUE,"Disputa 13º/14º Jogador2",IF(O94&gt;O98,I94,I98))</f>
        <v>Disputa 13º/14º Jogador2</v>
      </c>
      <c r="Q96" s="369"/>
      <c r="R96" s="369"/>
      <c r="S96" s="370"/>
      <c r="T96" s="69"/>
      <c r="U96" s="69"/>
      <c r="V96" s="69"/>
      <c r="W96" s="45" t="str">
        <f>IF(COUNT(T96:V96)&lt;1,"",IF(SUM(IF(T88&lt;T96,1,0),IF(U88&lt;U96,1,0),IF(V88&lt;V96,1,0))&gt;2,"??",SUM(IF(T88&lt;T96,1,0),IF(U88&lt;U96,1,0),IF(V88&lt;V96,1,0))))</f>
        <v/>
      </c>
      <c r="X96" s="48"/>
      <c r="Y96" s="53"/>
      <c r="Z96" s="53"/>
      <c r="AA96" s="53"/>
      <c r="AB96" s="53"/>
      <c r="AC96" s="53"/>
      <c r="AD96" s="54"/>
      <c r="AE96" s="113"/>
    </row>
    <row r="97" spans="8:93" ht="15" customHeight="1">
      <c r="H97" s="126"/>
      <c r="I97" s="55"/>
      <c r="J97" s="40"/>
      <c r="K97" s="59"/>
      <c r="L97" s="55"/>
      <c r="M97" s="42"/>
      <c r="N97" s="42"/>
      <c r="O97" s="42"/>
      <c r="P97" s="36"/>
      <c r="Q97" s="40"/>
      <c r="R97" s="55"/>
      <c r="S97" s="46"/>
      <c r="T97" s="55"/>
      <c r="U97" s="55"/>
      <c r="V97" s="60"/>
      <c r="W97" s="53"/>
      <c r="X97" s="48"/>
      <c r="Y97" s="53"/>
      <c r="Z97" s="53"/>
      <c r="AA97" s="53"/>
      <c r="AB97" s="53"/>
      <c r="AC97" s="53"/>
      <c r="AD97" s="54"/>
      <c r="AE97" s="113"/>
    </row>
    <row r="98" spans="8:93" ht="15">
      <c r="H98" s="126"/>
      <c r="I98" s="369" t="str">
        <f>IF(Y15="","4º  do Grupo D",Y15)</f>
        <v>4º  do Grupo D</v>
      </c>
      <c r="J98" s="369"/>
      <c r="K98" s="370"/>
      <c r="L98" s="69"/>
      <c r="M98" s="69"/>
      <c r="N98" s="70"/>
      <c r="O98" s="35" t="str">
        <f>IF(COUNT(L98:N98)&lt;1,"",IF(SUM(IF(L94&lt;L98,1,0),IF(M94&lt;M98,1,0),IF(N94&lt;N98,1,0))&gt;2,"??",SUM(IF(L94&lt;L98,1,0),IF(M94&lt;M98,1,0),IF(N94&lt;N98,1,0))))</f>
        <v/>
      </c>
      <c r="P98" s="36"/>
      <c r="Q98" s="40"/>
      <c r="R98" s="55"/>
      <c r="S98" s="55"/>
      <c r="T98" s="55"/>
      <c r="U98" s="55"/>
      <c r="V98" s="55"/>
      <c r="W98" s="54"/>
      <c r="X98" s="68"/>
      <c r="Y98" s="54"/>
      <c r="Z98" s="54"/>
      <c r="AA98" s="54"/>
      <c r="AB98" s="54"/>
      <c r="AC98" s="54"/>
      <c r="AD98" s="54"/>
      <c r="AE98" s="113"/>
    </row>
    <row r="99" spans="8:93">
      <c r="H99" s="128"/>
      <c r="I99" s="168"/>
      <c r="J99" s="169"/>
      <c r="K99" s="168"/>
      <c r="L99" s="170"/>
      <c r="M99" s="168"/>
      <c r="N99" s="168"/>
      <c r="O99" s="168"/>
      <c r="P99" s="168"/>
      <c r="Q99" s="169"/>
      <c r="R99" s="168"/>
      <c r="S99" s="168"/>
      <c r="T99" s="168"/>
      <c r="U99" s="168"/>
      <c r="V99" s="168"/>
      <c r="W99" s="122"/>
      <c r="X99" s="123"/>
      <c r="Y99" s="122"/>
      <c r="Z99" s="122"/>
      <c r="AA99" s="122"/>
      <c r="AB99" s="122"/>
      <c r="AC99" s="122"/>
      <c r="AD99" s="122"/>
      <c r="AE99" s="124"/>
    </row>
    <row r="100" spans="8:93" ht="48.75" customHeight="1" thickBot="1">
      <c r="AZ100" s="375"/>
      <c r="BA100" s="375"/>
      <c r="BB100" s="375"/>
      <c r="BC100" s="375"/>
      <c r="BD100" s="375"/>
      <c r="BE100" s="375"/>
      <c r="BF100" s="375"/>
      <c r="BG100" s="375"/>
      <c r="BH100" s="375"/>
      <c r="BI100" s="375"/>
      <c r="BJ100" s="375"/>
      <c r="BK100" s="375"/>
      <c r="BL100" s="375"/>
      <c r="BM100" s="375"/>
      <c r="BN100" s="375"/>
      <c r="BO100" s="375"/>
      <c r="BP100" s="375"/>
      <c r="BQ100" s="375"/>
      <c r="BR100" s="375"/>
      <c r="BS100" s="375"/>
      <c r="BT100" s="375"/>
      <c r="BU100" s="375"/>
      <c r="BV100" s="375"/>
      <c r="BW100" s="375"/>
      <c r="BX100" s="375"/>
      <c r="BY100" s="375"/>
      <c r="BZ100" s="375"/>
      <c r="CA100" s="375"/>
      <c r="CB100" s="375"/>
      <c r="CC100" s="375"/>
      <c r="CD100" s="375"/>
      <c r="CE100" s="375"/>
      <c r="CF100" s="375"/>
      <c r="CG100" s="375"/>
    </row>
    <row r="101" spans="8:93" ht="38.25" customHeight="1" thickBot="1">
      <c r="AZ101" s="87"/>
      <c r="BA101" s="367" t="str">
        <f>IF(BB102="","",CONCATENATE(VLOOKUP(BB102,$CI$102:$CO$145,2,FALSE),"  -  ",VLOOKUP(BB102,$CI$102:$CO$145,3,FALSE),,"  -  ",VLOOKUP(BB102,$CI$102:$CO$145,4,FALSE),"  -  ",VLOOKUP(BB102,$CI$102:$CO$145,5,FALSE)))</f>
        <v>Iniciados  -  Pares  -  Mistos  -  Grupo A</v>
      </c>
      <c r="BB101" s="367"/>
      <c r="BC101" s="367"/>
      <c r="BD101" s="367"/>
      <c r="BE101" s="367"/>
      <c r="BF101" s="367"/>
      <c r="BG101" s="367"/>
      <c r="BH101" s="367"/>
      <c r="BI101" s="367"/>
      <c r="BJ101" s="367"/>
      <c r="BK101" s="367"/>
      <c r="BL101" s="367"/>
      <c r="BM101" s="367"/>
      <c r="BN101" s="86"/>
      <c r="BO101" s="86"/>
      <c r="BP101" s="86"/>
      <c r="BQ101" s="86"/>
      <c r="BR101" s="86"/>
      <c r="BS101" s="86"/>
      <c r="BT101" s="86"/>
      <c r="BU101" s="86"/>
      <c r="BV101" s="86"/>
      <c r="BW101" s="86"/>
      <c r="BX101" s="86"/>
      <c r="BY101" s="86"/>
      <c r="BZ101" s="86"/>
      <c r="CA101" s="86"/>
      <c r="CB101" s="86"/>
      <c r="CC101" s="86"/>
      <c r="CD101" s="86"/>
      <c r="CE101" s="86"/>
      <c r="CF101" s="86"/>
      <c r="CG101" s="76"/>
      <c r="CI101" s="132" t="s">
        <v>26</v>
      </c>
      <c r="CJ101" s="132" t="s">
        <v>27</v>
      </c>
      <c r="CK101" s="132" t="s">
        <v>29</v>
      </c>
      <c r="CL101" s="132" t="s">
        <v>28</v>
      </c>
      <c r="CM101" s="132" t="s">
        <v>42</v>
      </c>
      <c r="CN101" s="132" t="s">
        <v>32</v>
      </c>
      <c r="CO101" s="132" t="s">
        <v>33</v>
      </c>
    </row>
    <row r="102" spans="8:93" ht="20.25" customHeight="1">
      <c r="AZ102" s="88"/>
      <c r="BA102" s="89" t="s">
        <v>25</v>
      </c>
      <c r="BB102" s="137">
        <f>IF($AG$27="","",$AG$27)</f>
        <v>1</v>
      </c>
      <c r="BC102" s="84"/>
      <c r="BD102" s="84"/>
      <c r="BE102" s="84"/>
      <c r="BF102" s="84"/>
      <c r="BG102" s="84"/>
      <c r="BH102" s="84"/>
      <c r="BI102" s="177" t="s">
        <v>51</v>
      </c>
      <c r="BJ102" s="84"/>
      <c r="BK102" s="84"/>
      <c r="BL102" s="294"/>
      <c r="BM102" s="295"/>
      <c r="BN102" s="90"/>
      <c r="BO102" s="90"/>
      <c r="BP102" s="90"/>
      <c r="BQ102" s="91"/>
      <c r="BR102" s="84"/>
      <c r="BS102" s="84"/>
      <c r="BT102" s="84"/>
      <c r="BU102" s="84"/>
      <c r="BV102" s="84"/>
      <c r="BW102" s="84"/>
      <c r="BX102" s="84"/>
      <c r="BY102" s="84"/>
      <c r="BZ102" s="84"/>
      <c r="CA102" s="84"/>
      <c r="CB102" s="84"/>
      <c r="CC102" s="84"/>
      <c r="CD102" s="84"/>
      <c r="CE102" s="84"/>
      <c r="CF102" s="84"/>
      <c r="CG102" s="92"/>
      <c r="CI102" s="133">
        <f>$C$16</f>
        <v>1</v>
      </c>
      <c r="CJ102" s="134" t="str">
        <f t="shared" ref="CJ102:CJ145" si="0">$H$2</f>
        <v>Iniciados</v>
      </c>
      <c r="CK102" s="134" t="str">
        <f t="shared" ref="CK102:CK145" si="1">$H$3</f>
        <v>Pares</v>
      </c>
      <c r="CL102" s="134" t="str">
        <f t="shared" ref="CL102:CL145" si="2">$Q$3</f>
        <v>Mistos</v>
      </c>
      <c r="CM102" s="134" t="str">
        <f>$C$5</f>
        <v>Grupo A</v>
      </c>
      <c r="CN102" s="134" t="str">
        <f>$D$16</f>
        <v>Manuel P/Margarida C (AE Sertã)</v>
      </c>
      <c r="CO102" s="134" t="str">
        <f>$D$17</f>
        <v>A4</v>
      </c>
    </row>
    <row r="103" spans="8:93" ht="7.5" customHeight="1">
      <c r="AZ103" s="88"/>
      <c r="BA103" s="84"/>
      <c r="BB103" s="84"/>
      <c r="BC103" s="84"/>
      <c r="BD103" s="84"/>
      <c r="BE103" s="84"/>
      <c r="BF103" s="84"/>
      <c r="BG103" s="84"/>
      <c r="BH103" s="84"/>
      <c r="BI103" s="84"/>
      <c r="BJ103" s="84"/>
      <c r="BK103" s="84"/>
      <c r="BL103" s="296"/>
      <c r="BM103" s="297"/>
      <c r="BN103" s="84"/>
      <c r="BO103" s="84"/>
      <c r="BP103" s="84"/>
      <c r="BQ103" s="84"/>
      <c r="BR103" s="84"/>
      <c r="BS103" s="84"/>
      <c r="BT103" s="84"/>
      <c r="BU103" s="84"/>
      <c r="BV103" s="84"/>
      <c r="BW103" s="84"/>
      <c r="BX103" s="84"/>
      <c r="BY103" s="84"/>
      <c r="BZ103" s="84"/>
      <c r="CA103" s="84"/>
      <c r="CB103" s="84"/>
      <c r="CC103" s="84"/>
      <c r="CD103" s="84"/>
      <c r="CE103" s="84"/>
      <c r="CF103" s="84"/>
      <c r="CG103" s="92"/>
      <c r="CI103" s="135">
        <f>$C$18</f>
        <v>2</v>
      </c>
      <c r="CJ103" s="135" t="str">
        <f t="shared" si="0"/>
        <v>Iniciados</v>
      </c>
      <c r="CK103" s="135" t="str">
        <f t="shared" si="1"/>
        <v>Pares</v>
      </c>
      <c r="CL103" s="135" t="str">
        <f t="shared" si="2"/>
        <v>Mistos</v>
      </c>
      <c r="CM103" s="135" t="str">
        <f>$C$5</f>
        <v>Grupo A</v>
      </c>
      <c r="CN103" s="135" t="str">
        <f>$D$18</f>
        <v>A2</v>
      </c>
      <c r="CO103" s="135" t="str">
        <f>$D$19</f>
        <v>A3</v>
      </c>
    </row>
    <row r="104" spans="8:93" ht="17.25" customHeight="1" thickBot="1">
      <c r="AZ104" s="88"/>
      <c r="BA104" s="368" t="s">
        <v>34</v>
      </c>
      <c r="BB104" s="368"/>
      <c r="BC104" s="93" t="s">
        <v>20</v>
      </c>
      <c r="BD104" s="93"/>
      <c r="BE104" s="93"/>
      <c r="BF104" s="93" t="s">
        <v>21</v>
      </c>
      <c r="BG104" s="93"/>
      <c r="BH104" s="93"/>
      <c r="BI104" s="93" t="s">
        <v>22</v>
      </c>
      <c r="BJ104" s="93"/>
      <c r="BK104" s="93"/>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92"/>
      <c r="CI104" s="135">
        <f>$J$16</f>
        <v>3</v>
      </c>
      <c r="CJ104" s="135" t="str">
        <f t="shared" si="0"/>
        <v>Iniciados</v>
      </c>
      <c r="CK104" s="135" t="str">
        <f t="shared" si="1"/>
        <v>Pares</v>
      </c>
      <c r="CL104" s="135" t="str">
        <f t="shared" si="2"/>
        <v>Mistos</v>
      </c>
      <c r="CM104" s="135" t="str">
        <f>$J$5</f>
        <v>Grupo B</v>
      </c>
      <c r="CN104" s="135" t="str">
        <f>$K$16</f>
        <v>B1</v>
      </c>
      <c r="CO104" s="135" t="str">
        <f>$K$17</f>
        <v>B4</v>
      </c>
    </row>
    <row r="105" spans="8:93" ht="19.5" customHeight="1">
      <c r="AZ105" s="88"/>
      <c r="BA105" s="350" t="str">
        <f>IF(BB102="","",VLOOKUP(BB102,$CI$102:$CO$145,6,FALSE))</f>
        <v>Manuel P/Margarida C (AE Sertã)</v>
      </c>
      <c r="BB105" s="351"/>
      <c r="BC105" s="354"/>
      <c r="BD105" s="355"/>
      <c r="BE105" s="356"/>
      <c r="BF105" s="354"/>
      <c r="BG105" s="355"/>
      <c r="BH105" s="356"/>
      <c r="BI105" s="354"/>
      <c r="BJ105" s="355"/>
      <c r="BK105" s="356"/>
      <c r="BL105" s="72"/>
      <c r="BM105" s="72"/>
      <c r="BN105" s="360"/>
      <c r="BO105" s="360"/>
      <c r="BP105" s="360"/>
      <c r="BQ105" s="94"/>
      <c r="BR105" s="95"/>
      <c r="BS105" s="84"/>
      <c r="BT105" s="84"/>
      <c r="BU105" s="84"/>
      <c r="BV105" s="84"/>
      <c r="BW105" s="84"/>
      <c r="BX105" s="84"/>
      <c r="BY105" s="84"/>
      <c r="BZ105" s="84"/>
      <c r="CA105" s="84"/>
      <c r="CB105" s="84"/>
      <c r="CC105" s="84"/>
      <c r="CD105" s="84"/>
      <c r="CE105" s="84"/>
      <c r="CF105" s="84"/>
      <c r="CG105" s="92"/>
      <c r="CI105" s="135">
        <f>$J$18</f>
        <v>4</v>
      </c>
      <c r="CJ105" s="135" t="str">
        <f t="shared" si="0"/>
        <v>Iniciados</v>
      </c>
      <c r="CK105" s="135" t="str">
        <f t="shared" si="1"/>
        <v>Pares</v>
      </c>
      <c r="CL105" s="135" t="str">
        <f t="shared" si="2"/>
        <v>Mistos</v>
      </c>
      <c r="CM105" s="135" t="str">
        <f>$J$5</f>
        <v>Grupo B</v>
      </c>
      <c r="CN105" s="135" t="str">
        <f>$K$18</f>
        <v>B2</v>
      </c>
      <c r="CO105" s="135" t="str">
        <f>$K$19</f>
        <v>B3</v>
      </c>
    </row>
    <row r="106" spans="8:93" ht="19.5" customHeight="1" thickBot="1">
      <c r="AZ106" s="88"/>
      <c r="BA106" s="352"/>
      <c r="BB106" s="353"/>
      <c r="BC106" s="357"/>
      <c r="BD106" s="358"/>
      <c r="BE106" s="359"/>
      <c r="BF106" s="357"/>
      <c r="BG106" s="358"/>
      <c r="BH106" s="359"/>
      <c r="BI106" s="357"/>
      <c r="BJ106" s="358"/>
      <c r="BK106" s="359"/>
      <c r="BL106" s="72"/>
      <c r="BM106" s="72"/>
      <c r="BN106" s="360"/>
      <c r="BO106" s="360"/>
      <c r="BP106" s="360"/>
      <c r="BQ106" s="94"/>
      <c r="BR106" s="95"/>
      <c r="BS106" s="84"/>
      <c r="BT106" s="84"/>
      <c r="BU106" s="84"/>
      <c r="BV106" s="84"/>
      <c r="BW106" s="84"/>
      <c r="BX106" s="84"/>
      <c r="BY106" s="84"/>
      <c r="BZ106" s="84"/>
      <c r="CA106" s="84"/>
      <c r="CB106" s="84"/>
      <c r="CC106" s="84"/>
      <c r="CD106" s="84"/>
      <c r="CE106" s="84"/>
      <c r="CF106" s="84"/>
      <c r="CG106" s="92"/>
      <c r="CI106" s="135">
        <f>$Q$16</f>
        <v>5</v>
      </c>
      <c r="CJ106" s="135" t="str">
        <f t="shared" si="0"/>
        <v>Iniciados</v>
      </c>
      <c r="CK106" s="135" t="str">
        <f t="shared" si="1"/>
        <v>Pares</v>
      </c>
      <c r="CL106" s="135" t="str">
        <f t="shared" si="2"/>
        <v>Mistos</v>
      </c>
      <c r="CM106" s="135" t="str">
        <f>$Q$5</f>
        <v>Grupo C</v>
      </c>
      <c r="CN106" s="135" t="str">
        <f>$R$16</f>
        <v>C1</v>
      </c>
      <c r="CO106" s="135" t="str">
        <f>$R$17</f>
        <v>C4</v>
      </c>
    </row>
    <row r="107" spans="8:93" ht="19.5" customHeight="1">
      <c r="AZ107" s="88"/>
      <c r="BA107" s="350" t="str">
        <f>IF(BB102="","",VLOOKUP(BB102,$CI$102:$CO$145,7,FALSE))</f>
        <v>A4</v>
      </c>
      <c r="BB107" s="351"/>
      <c r="BC107" s="354"/>
      <c r="BD107" s="355"/>
      <c r="BE107" s="356"/>
      <c r="BF107" s="354"/>
      <c r="BG107" s="355"/>
      <c r="BH107" s="356"/>
      <c r="BI107" s="354"/>
      <c r="BJ107" s="355"/>
      <c r="BK107" s="356"/>
      <c r="BL107" s="72"/>
      <c r="BM107" s="72"/>
      <c r="BN107" s="360"/>
      <c r="BO107" s="360"/>
      <c r="BP107" s="360"/>
      <c r="BQ107" s="94"/>
      <c r="BR107" s="95"/>
      <c r="BS107" s="84"/>
      <c r="BT107" s="84"/>
      <c r="BU107" s="84"/>
      <c r="BV107" s="84"/>
      <c r="BW107" s="84"/>
      <c r="BX107" s="84"/>
      <c r="BY107" s="84"/>
      <c r="BZ107" s="84"/>
      <c r="CA107" s="84"/>
      <c r="CB107" s="84"/>
      <c r="CC107" s="84"/>
      <c r="CD107" s="84"/>
      <c r="CE107" s="84"/>
      <c r="CF107" s="84"/>
      <c r="CG107" s="92"/>
      <c r="CI107" s="135">
        <f>$Q$18</f>
        <v>6</v>
      </c>
      <c r="CJ107" s="135" t="str">
        <f t="shared" si="0"/>
        <v>Iniciados</v>
      </c>
      <c r="CK107" s="135" t="str">
        <f t="shared" si="1"/>
        <v>Pares</v>
      </c>
      <c r="CL107" s="135" t="str">
        <f t="shared" si="2"/>
        <v>Mistos</v>
      </c>
      <c r="CM107" s="135" t="str">
        <f>$Q$5</f>
        <v>Grupo C</v>
      </c>
      <c r="CN107" s="135" t="str">
        <f>$R$18</f>
        <v>C2</v>
      </c>
      <c r="CO107" s="135" t="str">
        <f>$R$19</f>
        <v>C3</v>
      </c>
    </row>
    <row r="108" spans="8:93" ht="19.5" customHeight="1" thickBot="1">
      <c r="AZ108" s="88"/>
      <c r="BA108" s="352"/>
      <c r="BB108" s="353"/>
      <c r="BC108" s="357"/>
      <c r="BD108" s="358"/>
      <c r="BE108" s="359"/>
      <c r="BF108" s="357"/>
      <c r="BG108" s="358"/>
      <c r="BH108" s="359"/>
      <c r="BI108" s="357"/>
      <c r="BJ108" s="358"/>
      <c r="BK108" s="359"/>
      <c r="BL108" s="72"/>
      <c r="BM108" s="72"/>
      <c r="BN108" s="360"/>
      <c r="BO108" s="360"/>
      <c r="BP108" s="360"/>
      <c r="BQ108" s="96"/>
      <c r="BR108" s="95"/>
      <c r="BS108" s="84"/>
      <c r="BT108" s="84"/>
      <c r="BU108" s="84"/>
      <c r="BV108" s="84"/>
      <c r="BW108" s="84"/>
      <c r="BX108" s="84"/>
      <c r="BY108" s="84"/>
      <c r="BZ108" s="84"/>
      <c r="CA108" s="84"/>
      <c r="CB108" s="84"/>
      <c r="CC108" s="84"/>
      <c r="CD108" s="84"/>
      <c r="CE108" s="84"/>
      <c r="CF108" s="84"/>
      <c r="CG108" s="92"/>
      <c r="CI108" s="135">
        <f>$X$16</f>
        <v>7</v>
      </c>
      <c r="CJ108" s="135" t="str">
        <f t="shared" si="0"/>
        <v>Iniciados</v>
      </c>
      <c r="CK108" s="135" t="str">
        <f t="shared" si="1"/>
        <v>Pares</v>
      </c>
      <c r="CL108" s="135" t="str">
        <f t="shared" si="2"/>
        <v>Mistos</v>
      </c>
      <c r="CM108" s="135" t="str">
        <f>$X$5</f>
        <v>Grupo D</v>
      </c>
      <c r="CN108" s="135" t="str">
        <f>$Y$16</f>
        <v>D1</v>
      </c>
      <c r="CO108" s="135" t="str">
        <f>$Y$17</f>
        <v>D4</v>
      </c>
    </row>
    <row r="109" spans="8:93" ht="22.5" customHeight="1" thickBot="1">
      <c r="AZ109" s="88"/>
      <c r="BA109" s="97" t="s">
        <v>23</v>
      </c>
      <c r="BB109" s="361"/>
      <c r="BC109" s="362"/>
      <c r="BD109" s="362"/>
      <c r="BE109" s="362"/>
      <c r="BF109" s="363"/>
      <c r="BG109" s="363"/>
      <c r="BH109" s="363"/>
      <c r="BI109" s="363"/>
      <c r="BJ109" s="363"/>
      <c r="BK109" s="363"/>
      <c r="BL109" s="364"/>
      <c r="BM109" s="365"/>
      <c r="BN109" s="365"/>
      <c r="BO109" s="365"/>
      <c r="BP109" s="365"/>
      <c r="BQ109" s="95"/>
      <c r="BR109" s="95"/>
      <c r="BS109" s="84"/>
      <c r="BT109" s="84"/>
      <c r="BU109" s="84"/>
      <c r="BV109" s="84"/>
      <c r="BW109" s="84"/>
      <c r="BX109" s="84"/>
      <c r="BY109" s="84"/>
      <c r="BZ109" s="84"/>
      <c r="CA109" s="84"/>
      <c r="CB109" s="84"/>
      <c r="CC109" s="84"/>
      <c r="CD109" s="84"/>
      <c r="CE109" s="84"/>
      <c r="CF109" s="84"/>
      <c r="CG109" s="92"/>
      <c r="CI109" s="135">
        <f>$X$18</f>
        <v>8</v>
      </c>
      <c r="CJ109" s="135" t="str">
        <f t="shared" si="0"/>
        <v>Iniciados</v>
      </c>
      <c r="CK109" s="135" t="str">
        <f t="shared" si="1"/>
        <v>Pares</v>
      </c>
      <c r="CL109" s="135" t="str">
        <f t="shared" si="2"/>
        <v>Mistos</v>
      </c>
      <c r="CM109" s="135" t="str">
        <f>$X$5</f>
        <v>Grupo D</v>
      </c>
      <c r="CN109" s="135" t="str">
        <f>$Y$18</f>
        <v>D2</v>
      </c>
      <c r="CO109" s="135" t="str">
        <f>$Y$19</f>
        <v>D3</v>
      </c>
    </row>
    <row r="110" spans="8:93" ht="18.75" customHeight="1">
      <c r="AZ110" s="88"/>
      <c r="BA110" s="73" t="s">
        <v>34</v>
      </c>
      <c r="BB110" s="73"/>
      <c r="BC110" s="73"/>
      <c r="BD110" s="73"/>
      <c r="BE110" s="73"/>
      <c r="BF110" s="73"/>
      <c r="BG110" s="73"/>
      <c r="BH110" s="93"/>
      <c r="BI110" s="93"/>
      <c r="BJ110" s="93"/>
      <c r="BK110" s="93"/>
      <c r="BL110" s="93"/>
      <c r="BM110" s="93"/>
      <c r="BN110" s="93"/>
      <c r="BO110" s="93"/>
      <c r="BP110" s="93"/>
      <c r="BQ110" s="93"/>
      <c r="BR110" s="84"/>
      <c r="BS110" s="84"/>
      <c r="BT110" s="84"/>
      <c r="BU110" s="84"/>
      <c r="BV110" s="84"/>
      <c r="BW110" s="84"/>
      <c r="BX110" s="84"/>
      <c r="BY110" s="84"/>
      <c r="BZ110" s="84"/>
      <c r="CA110" s="84"/>
      <c r="CB110" s="84"/>
      <c r="CC110" s="84"/>
      <c r="CD110" s="84"/>
      <c r="CE110" s="84"/>
      <c r="CF110" s="84"/>
      <c r="CG110" s="92"/>
      <c r="CI110" s="135">
        <f>$C$20</f>
        <v>9</v>
      </c>
      <c r="CJ110" s="135" t="str">
        <f t="shared" si="0"/>
        <v>Iniciados</v>
      </c>
      <c r="CK110" s="135" t="str">
        <f t="shared" si="1"/>
        <v>Pares</v>
      </c>
      <c r="CL110" s="135" t="str">
        <f t="shared" si="2"/>
        <v>Mistos</v>
      </c>
      <c r="CM110" s="135" t="str">
        <f>$C$5</f>
        <v>Grupo A</v>
      </c>
      <c r="CN110" s="135" t="str">
        <f>$D$20</f>
        <v>A4</v>
      </c>
      <c r="CO110" s="135" t="str">
        <f>$D$21</f>
        <v>A3</v>
      </c>
    </row>
    <row r="111" spans="8:93" ht="15" customHeight="1">
      <c r="AZ111" s="88"/>
      <c r="BA111" s="346" t="str">
        <f>IF($BA$105="","",$BA$105)</f>
        <v>Manuel P/Margarida C (AE Sertã)</v>
      </c>
      <c r="BB111" s="347"/>
      <c r="BC111" s="74"/>
      <c r="BD111" s="75"/>
      <c r="BE111" s="75"/>
      <c r="BF111" s="75"/>
      <c r="BG111" s="75"/>
      <c r="BH111" s="75"/>
      <c r="BI111" s="75"/>
      <c r="BJ111" s="75"/>
      <c r="BK111" s="75"/>
      <c r="BL111" s="76"/>
      <c r="BM111" s="178"/>
      <c r="BN111" s="180"/>
      <c r="BO111" s="77"/>
      <c r="BP111" s="77"/>
      <c r="BQ111" s="77"/>
      <c r="BR111" s="78"/>
      <c r="BS111" s="75"/>
      <c r="BT111" s="75"/>
      <c r="BU111" s="75"/>
      <c r="BV111" s="75"/>
      <c r="BW111" s="178"/>
      <c r="BX111" s="76"/>
      <c r="BY111" s="75"/>
      <c r="BZ111" s="75"/>
      <c r="CA111" s="75"/>
      <c r="CB111" s="75"/>
      <c r="CC111" s="75"/>
      <c r="CD111" s="75"/>
      <c r="CE111" s="75"/>
      <c r="CF111" s="75"/>
      <c r="CG111" s="92"/>
      <c r="CI111" s="135">
        <f>$C$22</f>
        <v>10</v>
      </c>
      <c r="CJ111" s="135" t="str">
        <f t="shared" si="0"/>
        <v>Iniciados</v>
      </c>
      <c r="CK111" s="135" t="str">
        <f t="shared" si="1"/>
        <v>Pares</v>
      </c>
      <c r="CL111" s="135" t="str">
        <f t="shared" si="2"/>
        <v>Mistos</v>
      </c>
      <c r="CM111" s="135" t="str">
        <f>$C$5</f>
        <v>Grupo A</v>
      </c>
      <c r="CN111" s="135" t="str">
        <f>$D$22</f>
        <v>Manuel P/Margarida C (AE Sertã)</v>
      </c>
      <c r="CO111" s="135" t="str">
        <f>$D$23</f>
        <v>A2</v>
      </c>
    </row>
    <row r="112" spans="8:93" ht="15" customHeight="1">
      <c r="AZ112" s="88"/>
      <c r="BA112" s="348"/>
      <c r="BB112" s="349"/>
      <c r="BC112" s="79"/>
      <c r="BD112" s="80"/>
      <c r="BE112" s="80"/>
      <c r="BF112" s="80"/>
      <c r="BG112" s="80"/>
      <c r="BH112" s="80"/>
      <c r="BI112" s="80"/>
      <c r="BJ112" s="80"/>
      <c r="BK112" s="80"/>
      <c r="BL112" s="81"/>
      <c r="BM112" s="179"/>
      <c r="BN112" s="181"/>
      <c r="BO112" s="82"/>
      <c r="BP112" s="82"/>
      <c r="BQ112" s="82"/>
      <c r="BR112" s="83"/>
      <c r="BS112" s="80"/>
      <c r="BT112" s="80"/>
      <c r="BU112" s="80"/>
      <c r="BV112" s="80"/>
      <c r="BW112" s="179"/>
      <c r="BX112" s="81"/>
      <c r="BY112" s="80"/>
      <c r="BZ112" s="80"/>
      <c r="CA112" s="80"/>
      <c r="CB112" s="80"/>
      <c r="CC112" s="80"/>
      <c r="CD112" s="80"/>
      <c r="CE112" s="80"/>
      <c r="CF112" s="80"/>
      <c r="CG112" s="98" t="s">
        <v>1</v>
      </c>
      <c r="CI112" s="135">
        <f>$J$20</f>
        <v>11</v>
      </c>
      <c r="CJ112" s="135" t="str">
        <f t="shared" si="0"/>
        <v>Iniciados</v>
      </c>
      <c r="CK112" s="135" t="str">
        <f t="shared" si="1"/>
        <v>Pares</v>
      </c>
      <c r="CL112" s="135" t="str">
        <f t="shared" si="2"/>
        <v>Mistos</v>
      </c>
      <c r="CM112" s="135" t="str">
        <f>$J$5</f>
        <v>Grupo B</v>
      </c>
      <c r="CN112" s="135" t="str">
        <f>$K$20</f>
        <v>B4</v>
      </c>
      <c r="CO112" s="135" t="str">
        <f>$K$21</f>
        <v>B3</v>
      </c>
    </row>
    <row r="113" spans="52:93" ht="15" customHeight="1">
      <c r="AZ113" s="88"/>
      <c r="BA113" s="346" t="str">
        <f>IF($BA$107="","",$BA$107)</f>
        <v>A4</v>
      </c>
      <c r="BB113" s="347"/>
      <c r="BC113" s="74"/>
      <c r="BD113" s="75"/>
      <c r="BE113" s="75"/>
      <c r="BF113" s="75"/>
      <c r="BG113" s="75"/>
      <c r="BH113" s="75"/>
      <c r="BI113" s="75"/>
      <c r="BJ113" s="75"/>
      <c r="BK113" s="75"/>
      <c r="BL113" s="76"/>
      <c r="BM113" s="178"/>
      <c r="BN113" s="180"/>
      <c r="BO113" s="77"/>
      <c r="BP113" s="77"/>
      <c r="BQ113" s="77"/>
      <c r="BR113" s="78"/>
      <c r="BS113" s="75"/>
      <c r="BT113" s="75"/>
      <c r="BU113" s="75"/>
      <c r="BV113" s="75"/>
      <c r="BW113" s="178"/>
      <c r="BX113" s="76"/>
      <c r="BY113" s="75"/>
      <c r="BZ113" s="75"/>
      <c r="CA113" s="75"/>
      <c r="CB113" s="75"/>
      <c r="CC113" s="75"/>
      <c r="CD113" s="75"/>
      <c r="CE113" s="75"/>
      <c r="CF113" s="75"/>
      <c r="CG113" s="99"/>
      <c r="CI113" s="135">
        <f>$J$22</f>
        <v>12</v>
      </c>
      <c r="CJ113" s="135" t="str">
        <f t="shared" si="0"/>
        <v>Iniciados</v>
      </c>
      <c r="CK113" s="135" t="str">
        <f t="shared" si="1"/>
        <v>Pares</v>
      </c>
      <c r="CL113" s="135" t="str">
        <f t="shared" si="2"/>
        <v>Mistos</v>
      </c>
      <c r="CM113" s="135" t="str">
        <f>$J$5</f>
        <v>Grupo B</v>
      </c>
      <c r="CN113" s="135" t="str">
        <f>$K$22</f>
        <v>B1</v>
      </c>
      <c r="CO113" s="135" t="str">
        <f>$K$23</f>
        <v>B2</v>
      </c>
    </row>
    <row r="114" spans="52:93" ht="15" customHeight="1">
      <c r="AZ114" s="88"/>
      <c r="BA114" s="348"/>
      <c r="BB114" s="349"/>
      <c r="BC114" s="79"/>
      <c r="BD114" s="80"/>
      <c r="BE114" s="80"/>
      <c r="BF114" s="80"/>
      <c r="BG114" s="80"/>
      <c r="BH114" s="80"/>
      <c r="BI114" s="80"/>
      <c r="BJ114" s="80"/>
      <c r="BK114" s="80"/>
      <c r="BL114" s="81"/>
      <c r="BM114" s="179"/>
      <c r="BN114" s="181"/>
      <c r="BO114" s="82"/>
      <c r="BP114" s="82"/>
      <c r="BQ114" s="82"/>
      <c r="BR114" s="83"/>
      <c r="BS114" s="80"/>
      <c r="BT114" s="80"/>
      <c r="BU114" s="80"/>
      <c r="BV114" s="80"/>
      <c r="BW114" s="179"/>
      <c r="BX114" s="81"/>
      <c r="BY114" s="80"/>
      <c r="BZ114" s="80"/>
      <c r="CA114" s="80"/>
      <c r="CB114" s="80"/>
      <c r="CC114" s="80"/>
      <c r="CD114" s="80"/>
      <c r="CE114" s="80"/>
      <c r="CF114" s="80"/>
      <c r="CG114" s="92"/>
      <c r="CI114" s="135">
        <f>$Q$20</f>
        <v>13</v>
      </c>
      <c r="CJ114" s="135" t="str">
        <f t="shared" si="0"/>
        <v>Iniciados</v>
      </c>
      <c r="CK114" s="135" t="str">
        <f t="shared" si="1"/>
        <v>Pares</v>
      </c>
      <c r="CL114" s="135" t="str">
        <f t="shared" si="2"/>
        <v>Mistos</v>
      </c>
      <c r="CM114" s="135" t="str">
        <f>$Q$5</f>
        <v>Grupo C</v>
      </c>
      <c r="CN114" s="135" t="str">
        <f>$R$20</f>
        <v>C4</v>
      </c>
      <c r="CO114" s="135" t="str">
        <f>$R$21</f>
        <v>C3</v>
      </c>
    </row>
    <row r="115" spans="52:93" ht="12.75" customHeight="1">
      <c r="AZ115" s="88"/>
      <c r="BA115" s="84"/>
      <c r="BB115" s="84"/>
      <c r="BC115" s="100">
        <v>1</v>
      </c>
      <c r="BD115" s="100">
        <v>2</v>
      </c>
      <c r="BE115" s="100">
        <v>3</v>
      </c>
      <c r="BF115" s="100">
        <v>4</v>
      </c>
      <c r="BG115" s="100">
        <v>5</v>
      </c>
      <c r="BH115" s="100">
        <v>6</v>
      </c>
      <c r="BI115" s="100">
        <v>7</v>
      </c>
      <c r="BJ115" s="100">
        <v>8</v>
      </c>
      <c r="BK115" s="100">
        <v>9</v>
      </c>
      <c r="BL115" s="100">
        <v>10</v>
      </c>
      <c r="BM115" s="100">
        <v>11</v>
      </c>
      <c r="BN115" s="100">
        <v>12</v>
      </c>
      <c r="BO115" s="100">
        <v>13</v>
      </c>
      <c r="BP115" s="100">
        <v>14</v>
      </c>
      <c r="BQ115" s="100">
        <v>15</v>
      </c>
      <c r="BR115" s="100">
        <v>16</v>
      </c>
      <c r="BS115" s="100">
        <v>17</v>
      </c>
      <c r="BT115" s="100">
        <v>18</v>
      </c>
      <c r="BU115" s="100">
        <v>19</v>
      </c>
      <c r="BV115" s="100">
        <v>20</v>
      </c>
      <c r="BW115" s="100">
        <v>21</v>
      </c>
      <c r="BX115" s="100">
        <v>22</v>
      </c>
      <c r="BY115" s="100">
        <v>23</v>
      </c>
      <c r="BZ115" s="100">
        <v>24</v>
      </c>
      <c r="CA115" s="100">
        <v>25</v>
      </c>
      <c r="CB115" s="100">
        <v>26</v>
      </c>
      <c r="CC115" s="100">
        <v>27</v>
      </c>
      <c r="CD115" s="100">
        <v>28</v>
      </c>
      <c r="CE115" s="100">
        <v>29</v>
      </c>
      <c r="CF115" s="100">
        <v>30</v>
      </c>
      <c r="CG115" s="101"/>
      <c r="CI115" s="135">
        <f>$Q$22</f>
        <v>14</v>
      </c>
      <c r="CJ115" s="135" t="str">
        <f t="shared" si="0"/>
        <v>Iniciados</v>
      </c>
      <c r="CK115" s="135" t="str">
        <f t="shared" si="1"/>
        <v>Pares</v>
      </c>
      <c r="CL115" s="135" t="str">
        <f t="shared" si="2"/>
        <v>Mistos</v>
      </c>
      <c r="CM115" s="135" t="str">
        <f>$Q$5</f>
        <v>Grupo C</v>
      </c>
      <c r="CN115" s="135" t="str">
        <f>$R$22</f>
        <v>C1</v>
      </c>
      <c r="CO115" s="135" t="str">
        <f>$R$23</f>
        <v>C2</v>
      </c>
    </row>
    <row r="116" spans="52:93" ht="15" customHeight="1">
      <c r="AZ116" s="88"/>
      <c r="BA116" s="346" t="str">
        <f>IF($BA$105="","",$BA$105)</f>
        <v>Manuel P/Margarida C (AE Sertã)</v>
      </c>
      <c r="BB116" s="347"/>
      <c r="BC116" s="74"/>
      <c r="BD116" s="75"/>
      <c r="BE116" s="75"/>
      <c r="BF116" s="75"/>
      <c r="BG116" s="75"/>
      <c r="BH116" s="75"/>
      <c r="BI116" s="75"/>
      <c r="BJ116" s="75"/>
      <c r="BK116" s="75"/>
      <c r="BL116" s="76"/>
      <c r="BM116" s="178"/>
      <c r="BN116" s="180"/>
      <c r="BO116" s="77"/>
      <c r="BP116" s="77"/>
      <c r="BQ116" s="77"/>
      <c r="BR116" s="78"/>
      <c r="BS116" s="75"/>
      <c r="BT116" s="75"/>
      <c r="BU116" s="75"/>
      <c r="BV116" s="75"/>
      <c r="BW116" s="178"/>
      <c r="BX116" s="76"/>
      <c r="BY116" s="75"/>
      <c r="BZ116" s="75"/>
      <c r="CA116" s="75"/>
      <c r="CB116" s="75"/>
      <c r="CC116" s="75"/>
      <c r="CD116" s="75"/>
      <c r="CE116" s="75"/>
      <c r="CF116" s="75"/>
      <c r="CG116" s="92"/>
      <c r="CI116" s="135">
        <f>$X$20</f>
        <v>15</v>
      </c>
      <c r="CJ116" s="135" t="str">
        <f t="shared" si="0"/>
        <v>Iniciados</v>
      </c>
      <c r="CK116" s="135" t="str">
        <f t="shared" si="1"/>
        <v>Pares</v>
      </c>
      <c r="CL116" s="135" t="str">
        <f t="shared" si="2"/>
        <v>Mistos</v>
      </c>
      <c r="CM116" s="135" t="str">
        <f>$X$5</f>
        <v>Grupo D</v>
      </c>
      <c r="CN116" s="135" t="str">
        <f>$Y$20</f>
        <v>D4</v>
      </c>
      <c r="CO116" s="135" t="str">
        <f>$Y$21</f>
        <v>D3</v>
      </c>
    </row>
    <row r="117" spans="52:93" ht="15" customHeight="1">
      <c r="AZ117" s="88"/>
      <c r="BA117" s="348"/>
      <c r="BB117" s="349"/>
      <c r="BC117" s="79"/>
      <c r="BD117" s="80"/>
      <c r="BE117" s="80"/>
      <c r="BF117" s="80"/>
      <c r="BG117" s="80"/>
      <c r="BH117" s="80"/>
      <c r="BI117" s="80"/>
      <c r="BJ117" s="80"/>
      <c r="BK117" s="80"/>
      <c r="BL117" s="81"/>
      <c r="BM117" s="179"/>
      <c r="BN117" s="181"/>
      <c r="BO117" s="82"/>
      <c r="BP117" s="82"/>
      <c r="BQ117" s="82"/>
      <c r="BR117" s="83"/>
      <c r="BS117" s="80"/>
      <c r="BT117" s="80"/>
      <c r="BU117" s="80"/>
      <c r="BV117" s="80"/>
      <c r="BW117" s="179"/>
      <c r="BX117" s="81"/>
      <c r="BY117" s="80"/>
      <c r="BZ117" s="80"/>
      <c r="CA117" s="80"/>
      <c r="CB117" s="80"/>
      <c r="CC117" s="80"/>
      <c r="CD117" s="80"/>
      <c r="CE117" s="80"/>
      <c r="CF117" s="80"/>
      <c r="CG117" s="92"/>
      <c r="CI117" s="135">
        <f>$X$22</f>
        <v>16</v>
      </c>
      <c r="CJ117" s="135" t="str">
        <f t="shared" si="0"/>
        <v>Iniciados</v>
      </c>
      <c r="CK117" s="135" t="str">
        <f t="shared" si="1"/>
        <v>Pares</v>
      </c>
      <c r="CL117" s="135" t="str">
        <f t="shared" si="2"/>
        <v>Mistos</v>
      </c>
      <c r="CM117" s="135" t="str">
        <f>$X$5</f>
        <v>Grupo D</v>
      </c>
      <c r="CN117" s="135" t="str">
        <f>$Y$22</f>
        <v>D1</v>
      </c>
      <c r="CO117" s="135" t="str">
        <f>$Y$23</f>
        <v>D2</v>
      </c>
    </row>
    <row r="118" spans="52:93" ht="15" customHeight="1">
      <c r="AZ118" s="88"/>
      <c r="BA118" s="346" t="str">
        <f>IF($BA$107="","",$BA$107)</f>
        <v>A4</v>
      </c>
      <c r="BB118" s="347"/>
      <c r="BC118" s="74"/>
      <c r="BD118" s="75"/>
      <c r="BE118" s="75"/>
      <c r="BF118" s="75"/>
      <c r="BG118" s="75"/>
      <c r="BH118" s="75"/>
      <c r="BI118" s="75"/>
      <c r="BJ118" s="75"/>
      <c r="BK118" s="75"/>
      <c r="BL118" s="76"/>
      <c r="BM118" s="178"/>
      <c r="BN118" s="180"/>
      <c r="BO118" s="77"/>
      <c r="BP118" s="77"/>
      <c r="BQ118" s="77"/>
      <c r="BR118" s="78"/>
      <c r="BS118" s="75"/>
      <c r="BT118" s="75"/>
      <c r="BU118" s="75"/>
      <c r="BV118" s="75"/>
      <c r="BW118" s="178"/>
      <c r="BX118" s="76"/>
      <c r="BY118" s="75"/>
      <c r="BZ118" s="75"/>
      <c r="CA118" s="75"/>
      <c r="CB118" s="75"/>
      <c r="CC118" s="75"/>
      <c r="CD118" s="75"/>
      <c r="CE118" s="75"/>
      <c r="CF118" s="75"/>
      <c r="CG118" s="98" t="s">
        <v>2</v>
      </c>
      <c r="CI118" s="135">
        <f>$C$24</f>
        <v>17</v>
      </c>
      <c r="CJ118" s="135" t="str">
        <f t="shared" si="0"/>
        <v>Iniciados</v>
      </c>
      <c r="CK118" s="135" t="str">
        <f t="shared" si="1"/>
        <v>Pares</v>
      </c>
      <c r="CL118" s="135" t="str">
        <f t="shared" si="2"/>
        <v>Mistos</v>
      </c>
      <c r="CM118" s="135" t="str">
        <f>$C$5</f>
        <v>Grupo A</v>
      </c>
      <c r="CN118" s="135" t="str">
        <f>$D$24</f>
        <v>A2</v>
      </c>
      <c r="CO118" s="135" t="str">
        <f>$D$25</f>
        <v>A4</v>
      </c>
    </row>
    <row r="119" spans="52:93" ht="15" customHeight="1">
      <c r="AZ119" s="88"/>
      <c r="BA119" s="348"/>
      <c r="BB119" s="349"/>
      <c r="BC119" s="79"/>
      <c r="BD119" s="80"/>
      <c r="BE119" s="80"/>
      <c r="BF119" s="80"/>
      <c r="BG119" s="80"/>
      <c r="BH119" s="80"/>
      <c r="BI119" s="80"/>
      <c r="BJ119" s="80"/>
      <c r="BK119" s="80"/>
      <c r="BL119" s="81"/>
      <c r="BM119" s="179"/>
      <c r="BN119" s="181"/>
      <c r="BO119" s="82"/>
      <c r="BP119" s="82"/>
      <c r="BQ119" s="82"/>
      <c r="BR119" s="83"/>
      <c r="BS119" s="80"/>
      <c r="BT119" s="80"/>
      <c r="BU119" s="80"/>
      <c r="BV119" s="80"/>
      <c r="BW119" s="179"/>
      <c r="BX119" s="81"/>
      <c r="BY119" s="80"/>
      <c r="BZ119" s="80"/>
      <c r="CA119" s="80"/>
      <c r="CB119" s="80"/>
      <c r="CC119" s="80"/>
      <c r="CD119" s="80"/>
      <c r="CE119" s="80"/>
      <c r="CF119" s="80"/>
      <c r="CG119" s="92"/>
      <c r="CI119" s="135">
        <f>$C$26</f>
        <v>18</v>
      </c>
      <c r="CJ119" s="135" t="str">
        <f t="shared" si="0"/>
        <v>Iniciados</v>
      </c>
      <c r="CK119" s="135" t="str">
        <f t="shared" si="1"/>
        <v>Pares</v>
      </c>
      <c r="CL119" s="135" t="str">
        <f t="shared" si="2"/>
        <v>Mistos</v>
      </c>
      <c r="CM119" s="135" t="str">
        <f>$C$5</f>
        <v>Grupo A</v>
      </c>
      <c r="CN119" s="135" t="str">
        <f>$D$26</f>
        <v>A3</v>
      </c>
      <c r="CO119" s="135" t="str">
        <f>$D$27</f>
        <v>Manuel P/Margarida C (AE Sertã)</v>
      </c>
    </row>
    <row r="120" spans="52:93" ht="12.75" customHeight="1">
      <c r="AZ120" s="88"/>
      <c r="BA120" s="84"/>
      <c r="BB120" s="84"/>
      <c r="BC120" s="100">
        <v>1</v>
      </c>
      <c r="BD120" s="100">
        <v>2</v>
      </c>
      <c r="BE120" s="100">
        <v>3</v>
      </c>
      <c r="BF120" s="100">
        <v>4</v>
      </c>
      <c r="BG120" s="100">
        <v>5</v>
      </c>
      <c r="BH120" s="100">
        <v>6</v>
      </c>
      <c r="BI120" s="100">
        <v>7</v>
      </c>
      <c r="BJ120" s="100">
        <v>8</v>
      </c>
      <c r="BK120" s="100">
        <v>9</v>
      </c>
      <c r="BL120" s="100">
        <v>10</v>
      </c>
      <c r="BM120" s="100">
        <v>11</v>
      </c>
      <c r="BN120" s="100">
        <v>12</v>
      </c>
      <c r="BO120" s="100">
        <v>13</v>
      </c>
      <c r="BP120" s="100">
        <v>14</v>
      </c>
      <c r="BQ120" s="100">
        <v>15</v>
      </c>
      <c r="BR120" s="100">
        <v>16</v>
      </c>
      <c r="BS120" s="100">
        <v>17</v>
      </c>
      <c r="BT120" s="100">
        <v>18</v>
      </c>
      <c r="BU120" s="100">
        <v>19</v>
      </c>
      <c r="BV120" s="100">
        <v>20</v>
      </c>
      <c r="BW120" s="100">
        <v>21</v>
      </c>
      <c r="BX120" s="100">
        <v>22</v>
      </c>
      <c r="BY120" s="100">
        <v>23</v>
      </c>
      <c r="BZ120" s="100">
        <v>24</v>
      </c>
      <c r="CA120" s="100">
        <v>25</v>
      </c>
      <c r="CB120" s="100">
        <v>26</v>
      </c>
      <c r="CC120" s="100">
        <v>27</v>
      </c>
      <c r="CD120" s="100">
        <v>28</v>
      </c>
      <c r="CE120" s="100">
        <v>29</v>
      </c>
      <c r="CF120" s="100">
        <v>30</v>
      </c>
      <c r="CG120" s="101"/>
      <c r="CI120" s="135">
        <f>$J$24</f>
        <v>19</v>
      </c>
      <c r="CJ120" s="135" t="str">
        <f t="shared" si="0"/>
        <v>Iniciados</v>
      </c>
      <c r="CK120" s="135" t="str">
        <f t="shared" si="1"/>
        <v>Pares</v>
      </c>
      <c r="CL120" s="135" t="str">
        <f t="shared" si="2"/>
        <v>Mistos</v>
      </c>
      <c r="CM120" s="135" t="str">
        <f>$J$5</f>
        <v>Grupo B</v>
      </c>
      <c r="CN120" s="135" t="str">
        <f>$K$24</f>
        <v>B2</v>
      </c>
      <c r="CO120" s="135" t="str">
        <f>$K$25</f>
        <v>B4</v>
      </c>
    </row>
    <row r="121" spans="52:93" ht="15" customHeight="1">
      <c r="AZ121" s="88"/>
      <c r="BA121" s="346" t="str">
        <f>IF($BA$105="","",$BA$105)</f>
        <v>Manuel P/Margarida C (AE Sertã)</v>
      </c>
      <c r="BB121" s="347"/>
      <c r="BC121" s="74"/>
      <c r="BD121" s="75"/>
      <c r="BE121" s="75"/>
      <c r="BF121" s="75"/>
      <c r="BG121" s="75"/>
      <c r="BH121" s="75"/>
      <c r="BI121" s="75"/>
      <c r="BJ121" s="75"/>
      <c r="BK121" s="75"/>
      <c r="BL121" s="76"/>
      <c r="BM121" s="178"/>
      <c r="BN121" s="180"/>
      <c r="BO121" s="77"/>
      <c r="BP121" s="77"/>
      <c r="BQ121" s="77"/>
      <c r="BR121" s="78"/>
      <c r="BS121" s="75"/>
      <c r="BT121" s="75"/>
      <c r="BU121" s="75"/>
      <c r="BV121" s="75"/>
      <c r="BW121" s="178"/>
      <c r="BX121" s="76"/>
      <c r="BY121" s="75"/>
      <c r="BZ121" s="75"/>
      <c r="CA121" s="75"/>
      <c r="CB121" s="75"/>
      <c r="CC121" s="75"/>
      <c r="CD121" s="75"/>
      <c r="CE121" s="75"/>
      <c r="CF121" s="75"/>
      <c r="CG121" s="92"/>
      <c r="CI121" s="135">
        <f>$J$26</f>
        <v>20</v>
      </c>
      <c r="CJ121" s="135" t="str">
        <f t="shared" si="0"/>
        <v>Iniciados</v>
      </c>
      <c r="CK121" s="135" t="str">
        <f t="shared" si="1"/>
        <v>Pares</v>
      </c>
      <c r="CL121" s="135" t="str">
        <f t="shared" si="2"/>
        <v>Mistos</v>
      </c>
      <c r="CM121" s="135" t="str">
        <f>$J$5</f>
        <v>Grupo B</v>
      </c>
      <c r="CN121" s="135" t="str">
        <f>$K$26</f>
        <v>B3</v>
      </c>
      <c r="CO121" s="135" t="str">
        <f>$K$27</f>
        <v>B1</v>
      </c>
    </row>
    <row r="122" spans="52:93" ht="15" customHeight="1">
      <c r="AZ122" s="88"/>
      <c r="BA122" s="348"/>
      <c r="BB122" s="349"/>
      <c r="BC122" s="79"/>
      <c r="BD122" s="80"/>
      <c r="BE122" s="80"/>
      <c r="BF122" s="80"/>
      <c r="BG122" s="80"/>
      <c r="BH122" s="80"/>
      <c r="BI122" s="80"/>
      <c r="BJ122" s="80"/>
      <c r="BK122" s="80"/>
      <c r="BL122" s="81"/>
      <c r="BM122" s="179"/>
      <c r="BN122" s="181"/>
      <c r="BO122" s="82"/>
      <c r="BP122" s="82"/>
      <c r="BQ122" s="82"/>
      <c r="BR122" s="83"/>
      <c r="BS122" s="80"/>
      <c r="BT122" s="80"/>
      <c r="BU122" s="80"/>
      <c r="BV122" s="80"/>
      <c r="BW122" s="179"/>
      <c r="BX122" s="81"/>
      <c r="BY122" s="80"/>
      <c r="BZ122" s="80"/>
      <c r="CA122" s="80"/>
      <c r="CB122" s="80"/>
      <c r="CC122" s="80"/>
      <c r="CD122" s="80"/>
      <c r="CE122" s="80"/>
      <c r="CF122" s="80"/>
      <c r="CG122" s="92"/>
      <c r="CI122" s="135">
        <f>$Q$24</f>
        <v>21</v>
      </c>
      <c r="CJ122" s="135" t="str">
        <f t="shared" si="0"/>
        <v>Iniciados</v>
      </c>
      <c r="CK122" s="135" t="str">
        <f t="shared" si="1"/>
        <v>Pares</v>
      </c>
      <c r="CL122" s="135" t="str">
        <f t="shared" si="2"/>
        <v>Mistos</v>
      </c>
      <c r="CM122" s="135" t="str">
        <f>$Q$5</f>
        <v>Grupo C</v>
      </c>
      <c r="CN122" s="135" t="str">
        <f>$R$24</f>
        <v>C2</v>
      </c>
      <c r="CO122" s="135" t="str">
        <f>$R$25</f>
        <v>C4</v>
      </c>
    </row>
    <row r="123" spans="52:93" ht="15" customHeight="1">
      <c r="AZ123" s="88"/>
      <c r="BA123" s="346" t="str">
        <f>IF($BA$107="","",$BA$107)</f>
        <v>A4</v>
      </c>
      <c r="BB123" s="347"/>
      <c r="BC123" s="74"/>
      <c r="BD123" s="75"/>
      <c r="BE123" s="75"/>
      <c r="BF123" s="75"/>
      <c r="BG123" s="75"/>
      <c r="BH123" s="75"/>
      <c r="BI123" s="75"/>
      <c r="BJ123" s="75"/>
      <c r="BK123" s="75"/>
      <c r="BL123" s="76"/>
      <c r="BM123" s="178"/>
      <c r="BN123" s="180"/>
      <c r="BO123" s="77"/>
      <c r="BP123" s="77"/>
      <c r="BQ123" s="77"/>
      <c r="BR123" s="78"/>
      <c r="BS123" s="75"/>
      <c r="BT123" s="75"/>
      <c r="BU123" s="75"/>
      <c r="BV123" s="75"/>
      <c r="BW123" s="178"/>
      <c r="BX123" s="76"/>
      <c r="BY123" s="75"/>
      <c r="BZ123" s="75"/>
      <c r="CA123" s="75"/>
      <c r="CB123" s="75"/>
      <c r="CC123" s="75"/>
      <c r="CD123" s="75"/>
      <c r="CE123" s="75"/>
      <c r="CF123" s="75"/>
      <c r="CG123" s="98" t="s">
        <v>3</v>
      </c>
      <c r="CI123" s="135">
        <f>$Q$26</f>
        <v>22</v>
      </c>
      <c r="CJ123" s="135" t="str">
        <f t="shared" si="0"/>
        <v>Iniciados</v>
      </c>
      <c r="CK123" s="135" t="str">
        <f t="shared" si="1"/>
        <v>Pares</v>
      </c>
      <c r="CL123" s="135" t="str">
        <f t="shared" si="2"/>
        <v>Mistos</v>
      </c>
      <c r="CM123" s="135" t="str">
        <f>$Q$5</f>
        <v>Grupo C</v>
      </c>
      <c r="CN123" s="135" t="str">
        <f>$R$26</f>
        <v>C3</v>
      </c>
      <c r="CO123" s="135" t="str">
        <f>$R$27</f>
        <v>C1</v>
      </c>
    </row>
    <row r="124" spans="52:93" ht="15" customHeight="1">
      <c r="AZ124" s="88"/>
      <c r="BA124" s="348"/>
      <c r="BB124" s="349"/>
      <c r="BC124" s="79"/>
      <c r="BD124" s="80"/>
      <c r="BE124" s="80"/>
      <c r="BF124" s="80"/>
      <c r="BG124" s="80"/>
      <c r="BH124" s="80"/>
      <c r="BI124" s="80"/>
      <c r="BJ124" s="80"/>
      <c r="BK124" s="80"/>
      <c r="BL124" s="81"/>
      <c r="BM124" s="179"/>
      <c r="BN124" s="181"/>
      <c r="BO124" s="82"/>
      <c r="BP124" s="82"/>
      <c r="BQ124" s="82"/>
      <c r="BR124" s="83"/>
      <c r="BS124" s="80"/>
      <c r="BT124" s="80"/>
      <c r="BU124" s="80"/>
      <c r="BV124" s="80"/>
      <c r="BW124" s="179"/>
      <c r="BX124" s="81"/>
      <c r="BY124" s="80"/>
      <c r="BZ124" s="80"/>
      <c r="CA124" s="80"/>
      <c r="CB124" s="80"/>
      <c r="CC124" s="80"/>
      <c r="CD124" s="80"/>
      <c r="CE124" s="80"/>
      <c r="CF124" s="80"/>
      <c r="CG124" s="92"/>
      <c r="CI124" s="135">
        <f>$X$24</f>
        <v>23</v>
      </c>
      <c r="CJ124" s="135" t="str">
        <f t="shared" si="0"/>
        <v>Iniciados</v>
      </c>
      <c r="CK124" s="135" t="str">
        <f t="shared" si="1"/>
        <v>Pares</v>
      </c>
      <c r="CL124" s="135" t="str">
        <f t="shared" si="2"/>
        <v>Mistos</v>
      </c>
      <c r="CM124" s="135" t="str">
        <f>$X$5</f>
        <v>Grupo D</v>
      </c>
      <c r="CN124" s="135" t="str">
        <f>$Y$24</f>
        <v>D2</v>
      </c>
      <c r="CO124" s="135" t="str">
        <f>$Y$25</f>
        <v>D4</v>
      </c>
    </row>
    <row r="125" spans="52:93" ht="44.25" customHeight="1">
      <c r="AZ125" s="102"/>
      <c r="BA125" s="103" t="s">
        <v>35</v>
      </c>
      <c r="BB125" s="104"/>
      <c r="BC125" s="105"/>
      <c r="BD125" s="105"/>
      <c r="BE125" s="105"/>
      <c r="BF125" s="105"/>
      <c r="BG125" s="105"/>
      <c r="BH125" s="105"/>
      <c r="BI125" s="105"/>
      <c r="BJ125" s="105"/>
      <c r="BK125" s="105"/>
      <c r="BL125" s="105"/>
      <c r="BM125" s="105"/>
      <c r="BN125" s="105"/>
      <c r="BO125" s="105"/>
      <c r="BP125" s="105"/>
      <c r="BQ125" s="105"/>
      <c r="BR125" s="85"/>
      <c r="BS125" s="85"/>
      <c r="BT125" s="85"/>
      <c r="BU125" s="85"/>
      <c r="BV125" s="85"/>
      <c r="BW125" s="85"/>
      <c r="BX125" s="85"/>
      <c r="BY125" s="85"/>
      <c r="BZ125" s="85"/>
      <c r="CA125" s="85"/>
      <c r="CB125" s="85"/>
      <c r="CC125" s="85"/>
      <c r="CD125" s="85"/>
      <c r="CE125" s="85"/>
      <c r="CF125" s="85"/>
      <c r="CG125" s="81"/>
      <c r="CI125" s="135">
        <f>$X$26</f>
        <v>24</v>
      </c>
      <c r="CJ125" s="135" t="str">
        <f t="shared" si="0"/>
        <v>Iniciados</v>
      </c>
      <c r="CK125" s="135" t="str">
        <f t="shared" si="1"/>
        <v>Pares</v>
      </c>
      <c r="CL125" s="135" t="str">
        <f t="shared" si="2"/>
        <v>Mistos</v>
      </c>
      <c r="CM125" s="135" t="str">
        <f>$X$5</f>
        <v>Grupo D</v>
      </c>
      <c r="CN125" s="135" t="str">
        <f>$Y$26</f>
        <v>D3</v>
      </c>
      <c r="CO125" s="135" t="str">
        <f>$Y$27</f>
        <v>D1</v>
      </c>
    </row>
    <row r="126" spans="52:93" ht="185.25" customHeight="1">
      <c r="AZ126" s="366" t="s">
        <v>412</v>
      </c>
      <c r="BA126" s="366"/>
      <c r="BB126" s="366"/>
      <c r="BC126" s="366"/>
      <c r="BD126" s="366"/>
      <c r="BE126" s="366"/>
      <c r="BF126" s="366"/>
      <c r="BG126" s="366"/>
      <c r="BH126" s="366"/>
      <c r="BI126" s="366"/>
      <c r="BJ126" s="366"/>
      <c r="BK126" s="366"/>
      <c r="BL126" s="366"/>
      <c r="BM126" s="366"/>
      <c r="BN126" s="366"/>
      <c r="BO126" s="366"/>
      <c r="BP126" s="366"/>
      <c r="BQ126" s="366"/>
      <c r="BR126" s="366"/>
      <c r="BS126" s="366"/>
      <c r="BT126" s="366"/>
      <c r="BU126" s="366"/>
      <c r="BV126" s="366"/>
      <c r="BW126" s="366"/>
      <c r="BX126" s="366"/>
      <c r="BY126" s="366"/>
      <c r="BZ126" s="366"/>
      <c r="CA126" s="366"/>
      <c r="CB126" s="366"/>
      <c r="CC126" s="366"/>
      <c r="CD126" s="366"/>
      <c r="CE126" s="366"/>
      <c r="CF126" s="366"/>
      <c r="CG126" s="366"/>
      <c r="CI126" s="135">
        <f>$H$31</f>
        <v>25</v>
      </c>
      <c r="CJ126" s="135" t="str">
        <f t="shared" si="0"/>
        <v>Iniciados</v>
      </c>
      <c r="CK126" s="135" t="str">
        <f t="shared" si="1"/>
        <v>Pares</v>
      </c>
      <c r="CL126" s="135" t="str">
        <f t="shared" si="2"/>
        <v>Mistos</v>
      </c>
      <c r="CM126" s="135" t="str">
        <f>"1º Jogo dos 1/4 final"</f>
        <v>1º Jogo dos 1/4 final</v>
      </c>
      <c r="CN126" s="135" t="str">
        <f>$C$30</f>
        <v>Manuel P/Margarida C (AE Sertã)</v>
      </c>
      <c r="CO126" s="135" t="str">
        <f>$C$32</f>
        <v>2º do grupo B</v>
      </c>
    </row>
    <row r="127" spans="52:93" ht="38.25" customHeight="1">
      <c r="AZ127" s="87"/>
      <c r="BA127" s="367" t="str">
        <f>IF(BB128="","",CONCATENATE(VLOOKUP(BB128,$CI$102:$CO$145,2,FALSE),"  -  ",VLOOKUP(BB128,$CI$102:$CO$145,3,FALSE),,"  -  ",VLOOKUP(BB128,$CI$102:$CO$145,4,FALSE),"  -  ",VLOOKUP(BB128,$CI$102:$CO$145,5,FALSE)))</f>
        <v>Iniciados  -  Pares  -  Mistos  -  Grupo B</v>
      </c>
      <c r="BB127" s="367"/>
      <c r="BC127" s="367"/>
      <c r="BD127" s="367"/>
      <c r="BE127" s="367"/>
      <c r="BF127" s="367"/>
      <c r="BG127" s="367"/>
      <c r="BH127" s="367"/>
      <c r="BI127" s="367"/>
      <c r="BJ127" s="367"/>
      <c r="BK127" s="367"/>
      <c r="BL127" s="367"/>
      <c r="BM127" s="367"/>
      <c r="BN127" s="86"/>
      <c r="BO127" s="86"/>
      <c r="BP127" s="86"/>
      <c r="BQ127" s="86"/>
      <c r="BR127" s="86"/>
      <c r="BS127" s="86"/>
      <c r="BT127" s="86"/>
      <c r="BU127" s="86"/>
      <c r="BV127" s="86"/>
      <c r="BW127" s="86"/>
      <c r="BX127" s="86"/>
      <c r="BY127" s="86"/>
      <c r="BZ127" s="86"/>
      <c r="CA127" s="86"/>
      <c r="CB127" s="86"/>
      <c r="CC127" s="86"/>
      <c r="CD127" s="86"/>
      <c r="CE127" s="86"/>
      <c r="CF127" s="86"/>
      <c r="CG127" s="76"/>
      <c r="CI127" s="135">
        <f>$H$35</f>
        <v>26</v>
      </c>
      <c r="CJ127" s="135" t="str">
        <f t="shared" si="0"/>
        <v>Iniciados</v>
      </c>
      <c r="CK127" s="135" t="str">
        <f t="shared" si="1"/>
        <v>Pares</v>
      </c>
      <c r="CL127" s="135" t="str">
        <f t="shared" si="2"/>
        <v>Mistos</v>
      </c>
      <c r="CM127" s="135" t="str">
        <f>"2º Jogo dos 1/4 final"</f>
        <v>2º Jogo dos 1/4 final</v>
      </c>
      <c r="CN127" s="135" t="str">
        <f>$C$34</f>
        <v>2º do grupo D</v>
      </c>
      <c r="CO127" s="135" t="str">
        <f>$C$36</f>
        <v>1º do grupo C</v>
      </c>
    </row>
    <row r="128" spans="52:93" ht="20.25" customHeight="1">
      <c r="AZ128" s="88"/>
      <c r="BA128" s="89" t="s">
        <v>25</v>
      </c>
      <c r="BB128" s="137">
        <f>IF($AI$27="","",$AI$27)</f>
        <v>4</v>
      </c>
      <c r="BC128" s="84"/>
      <c r="BD128" s="84"/>
      <c r="BE128" s="84"/>
      <c r="BF128" s="84"/>
      <c r="BG128" s="84"/>
      <c r="BH128" s="84"/>
      <c r="BI128" s="177" t="s">
        <v>51</v>
      </c>
      <c r="BJ128" s="84"/>
      <c r="BK128" s="84"/>
      <c r="BL128" s="294"/>
      <c r="BM128" s="295"/>
      <c r="BN128" s="90"/>
      <c r="BO128" s="90"/>
      <c r="BP128" s="90"/>
      <c r="BQ128" s="91"/>
      <c r="BR128" s="84"/>
      <c r="BS128" s="84"/>
      <c r="BT128" s="84"/>
      <c r="BU128" s="84"/>
      <c r="BV128" s="84"/>
      <c r="BW128" s="84"/>
      <c r="BX128" s="84"/>
      <c r="BY128" s="84"/>
      <c r="BZ128" s="84"/>
      <c r="CA128" s="84"/>
      <c r="CB128" s="84"/>
      <c r="CC128" s="84"/>
      <c r="CD128" s="84"/>
      <c r="CE128" s="84"/>
      <c r="CF128" s="84"/>
      <c r="CG128" s="92"/>
      <c r="CI128" s="135">
        <f>$H$39</f>
        <v>27</v>
      </c>
      <c r="CJ128" s="135" t="str">
        <f t="shared" si="0"/>
        <v>Iniciados</v>
      </c>
      <c r="CK128" s="135" t="str">
        <f t="shared" si="1"/>
        <v>Pares</v>
      </c>
      <c r="CL128" s="135" t="str">
        <f t="shared" si="2"/>
        <v>Mistos</v>
      </c>
      <c r="CM128" s="135" t="str">
        <f>"3º Jogo dos 1/4 final"</f>
        <v>3º Jogo dos 1/4 final</v>
      </c>
      <c r="CN128" s="135" t="str">
        <f>$C$38</f>
        <v>1º do grupo B</v>
      </c>
      <c r="CO128" s="135" t="str">
        <f>$C$40</f>
        <v>A4</v>
      </c>
    </row>
    <row r="129" spans="52:93" ht="7.5" customHeight="1">
      <c r="AZ129" s="88"/>
      <c r="BA129" s="84"/>
      <c r="BB129" s="84"/>
      <c r="BC129" s="84"/>
      <c r="BD129" s="84"/>
      <c r="BE129" s="84"/>
      <c r="BF129" s="84"/>
      <c r="BG129" s="84"/>
      <c r="BH129" s="84"/>
      <c r="BI129" s="84"/>
      <c r="BJ129" s="84"/>
      <c r="BK129" s="84"/>
      <c r="BL129" s="296"/>
      <c r="BM129" s="297"/>
      <c r="BN129" s="84"/>
      <c r="BO129" s="84"/>
      <c r="BP129" s="84"/>
      <c r="BQ129" s="84"/>
      <c r="BR129" s="84"/>
      <c r="BS129" s="84"/>
      <c r="BT129" s="84"/>
      <c r="BU129" s="84"/>
      <c r="BV129" s="84"/>
      <c r="BW129" s="84"/>
      <c r="BX129" s="84"/>
      <c r="BY129" s="84"/>
      <c r="BZ129" s="84"/>
      <c r="CA129" s="84"/>
      <c r="CB129" s="84"/>
      <c r="CC129" s="84"/>
      <c r="CD129" s="84"/>
      <c r="CE129" s="84"/>
      <c r="CF129" s="84"/>
      <c r="CG129" s="92"/>
      <c r="CI129" s="135">
        <f>$H$43</f>
        <v>28</v>
      </c>
      <c r="CJ129" s="135" t="str">
        <f t="shared" si="0"/>
        <v>Iniciados</v>
      </c>
      <c r="CK129" s="135" t="str">
        <f t="shared" si="1"/>
        <v>Pares</v>
      </c>
      <c r="CL129" s="135" t="str">
        <f t="shared" si="2"/>
        <v>Mistos</v>
      </c>
      <c r="CM129" s="135" t="str">
        <f>"4º Jogo dos 1/4 final"</f>
        <v>4º Jogo dos 1/4 final</v>
      </c>
      <c r="CN129" s="135" t="str">
        <f>$C$42</f>
        <v>2º do grupo C</v>
      </c>
      <c r="CO129" s="135" t="str">
        <f>$C$44</f>
        <v>1º do grupo D</v>
      </c>
    </row>
    <row r="130" spans="52:93" ht="17.25" customHeight="1" thickBot="1">
      <c r="AZ130" s="88"/>
      <c r="BA130" s="368" t="s">
        <v>34</v>
      </c>
      <c r="BB130" s="368"/>
      <c r="BC130" s="93" t="s">
        <v>20</v>
      </c>
      <c r="BD130" s="93"/>
      <c r="BE130" s="93"/>
      <c r="BF130" s="93" t="s">
        <v>21</v>
      </c>
      <c r="BG130" s="93"/>
      <c r="BH130" s="93"/>
      <c r="BI130" s="93" t="s">
        <v>22</v>
      </c>
      <c r="BJ130" s="93"/>
      <c r="BK130" s="93"/>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92"/>
      <c r="CI130" s="135">
        <f>$O$33</f>
        <v>29</v>
      </c>
      <c r="CJ130" s="135" t="str">
        <f t="shared" si="0"/>
        <v>Iniciados</v>
      </c>
      <c r="CK130" s="135" t="str">
        <f t="shared" si="1"/>
        <v>Pares</v>
      </c>
      <c r="CL130" s="135" t="str">
        <f t="shared" si="2"/>
        <v>Mistos</v>
      </c>
      <c r="CM130" s="135" t="str">
        <f>"1ª Meia Final"</f>
        <v>1ª Meia Final</v>
      </c>
      <c r="CN130" s="135" t="str">
        <f>$I$31</f>
        <v>1ª Meia Final-Jogador1</v>
      </c>
      <c r="CO130" s="135" t="str">
        <f>$I$35</f>
        <v>1ª Meia Final-Jogador2</v>
      </c>
    </row>
    <row r="131" spans="52:93" ht="19.5" customHeight="1">
      <c r="AZ131" s="88"/>
      <c r="BA131" s="350" t="str">
        <f>IF(BB128="","",VLOOKUP(BB128,$CI$102:$CO$145,6,FALSE))</f>
        <v>B2</v>
      </c>
      <c r="BB131" s="351"/>
      <c r="BC131" s="354"/>
      <c r="BD131" s="355"/>
      <c r="BE131" s="356"/>
      <c r="BF131" s="354"/>
      <c r="BG131" s="355"/>
      <c r="BH131" s="356"/>
      <c r="BI131" s="354"/>
      <c r="BJ131" s="355"/>
      <c r="BK131" s="356"/>
      <c r="BL131" s="72"/>
      <c r="BM131" s="72"/>
      <c r="BN131" s="360"/>
      <c r="BO131" s="360"/>
      <c r="BP131" s="360"/>
      <c r="BQ131" s="94"/>
      <c r="BR131" s="95"/>
      <c r="BS131" s="84"/>
      <c r="BT131" s="84"/>
      <c r="BU131" s="84"/>
      <c r="BV131" s="84"/>
      <c r="BW131" s="84"/>
      <c r="BX131" s="84"/>
      <c r="BY131" s="84"/>
      <c r="BZ131" s="84"/>
      <c r="CA131" s="84"/>
      <c r="CB131" s="84"/>
      <c r="CC131" s="84"/>
      <c r="CD131" s="84"/>
      <c r="CE131" s="84"/>
      <c r="CF131" s="84"/>
      <c r="CG131" s="92"/>
      <c r="CI131" s="135">
        <f>$O$41</f>
        <v>30</v>
      </c>
      <c r="CJ131" s="135" t="str">
        <f t="shared" si="0"/>
        <v>Iniciados</v>
      </c>
      <c r="CK131" s="135" t="str">
        <f t="shared" si="1"/>
        <v>Pares</v>
      </c>
      <c r="CL131" s="135" t="str">
        <f t="shared" si="2"/>
        <v>Mistos</v>
      </c>
      <c r="CM131" s="135" t="str">
        <f>"2ª Meia Final"</f>
        <v>2ª Meia Final</v>
      </c>
      <c r="CN131" s="135" t="str">
        <f>$I$39</f>
        <v>2ª Meia Final-Jogador1</v>
      </c>
      <c r="CO131" s="135" t="str">
        <f>$I$43</f>
        <v>2ª Meia Final-Jogador2</v>
      </c>
    </row>
    <row r="132" spans="52:93" ht="19.5" customHeight="1" thickBot="1">
      <c r="AZ132" s="88"/>
      <c r="BA132" s="352"/>
      <c r="BB132" s="353"/>
      <c r="BC132" s="357"/>
      <c r="BD132" s="358"/>
      <c r="BE132" s="359"/>
      <c r="BF132" s="357"/>
      <c r="BG132" s="358"/>
      <c r="BH132" s="359"/>
      <c r="BI132" s="357"/>
      <c r="BJ132" s="358"/>
      <c r="BK132" s="359"/>
      <c r="BL132" s="72"/>
      <c r="BM132" s="72"/>
      <c r="BN132" s="360"/>
      <c r="BO132" s="360"/>
      <c r="BP132" s="360"/>
      <c r="BQ132" s="94"/>
      <c r="BR132" s="95"/>
      <c r="BS132" s="84"/>
      <c r="BT132" s="84"/>
      <c r="BU132" s="84"/>
      <c r="BV132" s="84"/>
      <c r="BW132" s="84"/>
      <c r="BX132" s="84"/>
      <c r="BY132" s="84"/>
      <c r="BZ132" s="84"/>
      <c r="CA132" s="84"/>
      <c r="CB132" s="84"/>
      <c r="CC132" s="84"/>
      <c r="CD132" s="84"/>
      <c r="CE132" s="84"/>
      <c r="CF132" s="84"/>
      <c r="CG132" s="92"/>
      <c r="CI132" s="135">
        <f>$V$37</f>
        <v>31</v>
      </c>
      <c r="CJ132" s="135" t="str">
        <f t="shared" si="0"/>
        <v>Iniciados</v>
      </c>
      <c r="CK132" s="135" t="str">
        <f t="shared" si="1"/>
        <v>Pares</v>
      </c>
      <c r="CL132" s="135" t="str">
        <f t="shared" si="2"/>
        <v>Mistos</v>
      </c>
      <c r="CM132" s="135" t="str">
        <f>"Jogo 3º/4º lugar"</f>
        <v>Jogo 3º/4º lugar</v>
      </c>
      <c r="CN132" s="135" t="str">
        <f>$P$35</f>
        <v>Disputa 3º/4º  Jogador1</v>
      </c>
      <c r="CO132" s="135" t="str">
        <f>$P$39</f>
        <v>Disputa 3º/4º  Jogador2</v>
      </c>
    </row>
    <row r="133" spans="52:93" ht="19.5" customHeight="1">
      <c r="AZ133" s="88"/>
      <c r="BA133" s="350" t="str">
        <f>IF(BB128="","",VLOOKUP(BB128,$CI$102:$CO$145,7,FALSE))</f>
        <v>B3</v>
      </c>
      <c r="BB133" s="351"/>
      <c r="BC133" s="354"/>
      <c r="BD133" s="355"/>
      <c r="BE133" s="356"/>
      <c r="BF133" s="354"/>
      <c r="BG133" s="355"/>
      <c r="BH133" s="356"/>
      <c r="BI133" s="354"/>
      <c r="BJ133" s="355"/>
      <c r="BK133" s="356"/>
      <c r="BL133" s="72"/>
      <c r="BM133" s="72"/>
      <c r="BN133" s="360"/>
      <c r="BO133" s="360"/>
      <c r="BP133" s="360"/>
      <c r="BQ133" s="94"/>
      <c r="BR133" s="95"/>
      <c r="BS133" s="84"/>
      <c r="BT133" s="84"/>
      <c r="BU133" s="84"/>
      <c r="BV133" s="84"/>
      <c r="BW133" s="84"/>
      <c r="BX133" s="84"/>
      <c r="BY133" s="84"/>
      <c r="BZ133" s="84"/>
      <c r="CA133" s="84"/>
      <c r="CB133" s="84"/>
      <c r="CC133" s="84"/>
      <c r="CD133" s="84"/>
      <c r="CE133" s="84"/>
      <c r="CF133" s="84"/>
      <c r="CG133" s="92"/>
      <c r="CI133" s="136">
        <f>$W$37</f>
        <v>32</v>
      </c>
      <c r="CJ133" s="136" t="str">
        <f t="shared" si="0"/>
        <v>Iniciados</v>
      </c>
      <c r="CK133" s="136" t="str">
        <f t="shared" si="1"/>
        <v>Pares</v>
      </c>
      <c r="CL133" s="136" t="str">
        <f t="shared" si="2"/>
        <v>Mistos</v>
      </c>
      <c r="CM133" s="136" t="str">
        <f>"Final"</f>
        <v>Final</v>
      </c>
      <c r="CN133" s="136" t="str">
        <f>$P$33</f>
        <v>Final-Jogador1</v>
      </c>
      <c r="CO133" s="136" t="str">
        <f>$P$41</f>
        <v>Final-Jogador2</v>
      </c>
    </row>
    <row r="134" spans="52:93" ht="19.5" customHeight="1" thickBot="1">
      <c r="AZ134" s="88"/>
      <c r="BA134" s="352"/>
      <c r="BB134" s="353"/>
      <c r="BC134" s="357"/>
      <c r="BD134" s="358"/>
      <c r="BE134" s="359"/>
      <c r="BF134" s="357"/>
      <c r="BG134" s="358"/>
      <c r="BH134" s="359"/>
      <c r="BI134" s="357"/>
      <c r="BJ134" s="358"/>
      <c r="BK134" s="359"/>
      <c r="BL134" s="72"/>
      <c r="BM134" s="72"/>
      <c r="BN134" s="360"/>
      <c r="BO134" s="360"/>
      <c r="BP134" s="360"/>
      <c r="BQ134" s="96"/>
      <c r="BR134" s="95"/>
      <c r="BS134" s="84"/>
      <c r="BT134" s="84"/>
      <c r="BU134" s="84"/>
      <c r="BV134" s="84"/>
      <c r="BW134" s="84"/>
      <c r="BX134" s="84"/>
      <c r="BY134" s="84"/>
      <c r="BZ134" s="84"/>
      <c r="CA134" s="84"/>
      <c r="CB134" s="84"/>
      <c r="CC134" s="84"/>
      <c r="CD134" s="84"/>
      <c r="CE134" s="84"/>
      <c r="CF134" s="84"/>
      <c r="CG134" s="92"/>
      <c r="CI134" s="135">
        <f>$O$52</f>
        <v>33</v>
      </c>
      <c r="CJ134" s="135" t="str">
        <f t="shared" si="0"/>
        <v>Iniciados</v>
      </c>
      <c r="CK134" s="135" t="str">
        <f t="shared" si="1"/>
        <v>Pares</v>
      </c>
      <c r="CL134" s="135" t="str">
        <f t="shared" si="2"/>
        <v>Mistos</v>
      </c>
      <c r="CM134" s="135" t="str">
        <f>"Disp 5º-8º - Jogo1"</f>
        <v>Disp 5º-8º - Jogo1</v>
      </c>
      <c r="CN134" s="135" t="str">
        <f>$I$50</f>
        <v>Vencido do jogo 25</v>
      </c>
      <c r="CO134" s="135" t="str">
        <f>$I$54</f>
        <v>Vencido do jogo 26</v>
      </c>
    </row>
    <row r="135" spans="52:93" ht="22.5" customHeight="1" thickBot="1">
      <c r="AZ135" s="88"/>
      <c r="BA135" s="97" t="s">
        <v>23</v>
      </c>
      <c r="BB135" s="361"/>
      <c r="BC135" s="362"/>
      <c r="BD135" s="362"/>
      <c r="BE135" s="362"/>
      <c r="BF135" s="363"/>
      <c r="BG135" s="363"/>
      <c r="BH135" s="363"/>
      <c r="BI135" s="363"/>
      <c r="BJ135" s="363"/>
      <c r="BK135" s="363"/>
      <c r="BL135" s="364"/>
      <c r="BM135" s="365"/>
      <c r="BN135" s="365"/>
      <c r="BO135" s="365"/>
      <c r="BP135" s="365"/>
      <c r="BQ135" s="95"/>
      <c r="BR135" s="95"/>
      <c r="BS135" s="84"/>
      <c r="BT135" s="84"/>
      <c r="BU135" s="84"/>
      <c r="BV135" s="84"/>
      <c r="BW135" s="84"/>
      <c r="BX135" s="84"/>
      <c r="BY135" s="84"/>
      <c r="BZ135" s="84"/>
      <c r="CA135" s="84"/>
      <c r="CB135" s="84"/>
      <c r="CC135" s="84"/>
      <c r="CD135" s="84"/>
      <c r="CE135" s="84"/>
      <c r="CF135" s="84"/>
      <c r="CG135" s="92"/>
      <c r="CI135" s="135">
        <f>$O$60</f>
        <v>34</v>
      </c>
      <c r="CJ135" s="135" t="str">
        <f t="shared" si="0"/>
        <v>Iniciados</v>
      </c>
      <c r="CK135" s="135" t="str">
        <f t="shared" si="1"/>
        <v>Pares</v>
      </c>
      <c r="CL135" s="135" t="str">
        <f t="shared" si="2"/>
        <v>Mistos</v>
      </c>
      <c r="CM135" s="135" t="str">
        <f>"Disp 5º-8º - Jogo2"</f>
        <v>Disp 5º-8º - Jogo2</v>
      </c>
      <c r="CN135" s="135" t="str">
        <f>$I$58</f>
        <v>Vencido do jogo 27</v>
      </c>
      <c r="CO135" s="135" t="str">
        <f>$I$62</f>
        <v>Vencido do jogo 28</v>
      </c>
    </row>
    <row r="136" spans="52:93" ht="18.75" customHeight="1">
      <c r="AZ136" s="88"/>
      <c r="BA136" s="73" t="s">
        <v>34</v>
      </c>
      <c r="BB136" s="73"/>
      <c r="BC136" s="73"/>
      <c r="BD136" s="73"/>
      <c r="BE136" s="73"/>
      <c r="BF136" s="73"/>
      <c r="BG136" s="73"/>
      <c r="BH136" s="93"/>
      <c r="BI136" s="93"/>
      <c r="BJ136" s="93"/>
      <c r="BK136" s="93"/>
      <c r="BL136" s="93"/>
      <c r="BM136" s="93"/>
      <c r="BN136" s="93"/>
      <c r="BO136" s="93"/>
      <c r="BP136" s="93"/>
      <c r="BQ136" s="93"/>
      <c r="BR136" s="84"/>
      <c r="BS136" s="84"/>
      <c r="BT136" s="84"/>
      <c r="BU136" s="84"/>
      <c r="BV136" s="84"/>
      <c r="BW136" s="84"/>
      <c r="BX136" s="84"/>
      <c r="BY136" s="84"/>
      <c r="BZ136" s="84"/>
      <c r="CA136" s="84"/>
      <c r="CB136" s="84"/>
      <c r="CC136" s="84"/>
      <c r="CD136" s="84"/>
      <c r="CE136" s="84"/>
      <c r="CF136" s="84"/>
      <c r="CG136" s="92"/>
      <c r="CI136" s="135">
        <f>$V$56</f>
        <v>35</v>
      </c>
      <c r="CJ136" s="135" t="str">
        <f t="shared" si="0"/>
        <v>Iniciados</v>
      </c>
      <c r="CK136" s="135" t="str">
        <f t="shared" si="1"/>
        <v>Pares</v>
      </c>
      <c r="CL136" s="135" t="str">
        <f t="shared" si="2"/>
        <v>Mistos</v>
      </c>
      <c r="CM136" s="135" t="str">
        <f>"Jogo 7º/8º lugar"</f>
        <v>Jogo 7º/8º lugar</v>
      </c>
      <c r="CN136" s="135" t="str">
        <f>$P$54</f>
        <v>Disputa 7º/8º  Jogador1</v>
      </c>
      <c r="CO136" s="135" t="str">
        <f>$P$58</f>
        <v>Disputa 7º/8º  Jogador2</v>
      </c>
    </row>
    <row r="137" spans="52:93" ht="15" customHeight="1">
      <c r="AZ137" s="88"/>
      <c r="BA137" s="346" t="str">
        <f>IF($BA$131="","",$BA$131)</f>
        <v>B2</v>
      </c>
      <c r="BB137" s="347"/>
      <c r="BC137" s="74"/>
      <c r="BD137" s="75"/>
      <c r="BE137" s="75"/>
      <c r="BF137" s="75"/>
      <c r="BG137" s="75"/>
      <c r="BH137" s="75"/>
      <c r="BI137" s="75"/>
      <c r="BJ137" s="75"/>
      <c r="BK137" s="75"/>
      <c r="BL137" s="76"/>
      <c r="BM137" s="178"/>
      <c r="BN137" s="180"/>
      <c r="BO137" s="77"/>
      <c r="BP137" s="77"/>
      <c r="BQ137" s="77"/>
      <c r="BR137" s="78"/>
      <c r="BS137" s="75"/>
      <c r="BT137" s="75"/>
      <c r="BU137" s="75"/>
      <c r="BV137" s="75"/>
      <c r="BW137" s="178"/>
      <c r="BX137" s="76"/>
      <c r="BY137" s="75"/>
      <c r="BZ137" s="75"/>
      <c r="CA137" s="75"/>
      <c r="CB137" s="75"/>
      <c r="CC137" s="75"/>
      <c r="CD137" s="75"/>
      <c r="CE137" s="75"/>
      <c r="CF137" s="75"/>
      <c r="CG137" s="92"/>
      <c r="CI137" s="136">
        <f>$W$56</f>
        <v>36</v>
      </c>
      <c r="CJ137" s="136" t="str">
        <f t="shared" si="0"/>
        <v>Iniciados</v>
      </c>
      <c r="CK137" s="136" t="str">
        <f t="shared" si="1"/>
        <v>Pares</v>
      </c>
      <c r="CL137" s="136" t="str">
        <f t="shared" si="2"/>
        <v>Mistos</v>
      </c>
      <c r="CM137" s="136" t="str">
        <f>"Jogo 5º/6º lugar"</f>
        <v>Jogo 5º/6º lugar</v>
      </c>
      <c r="CN137" s="136" t="str">
        <f>$P$52</f>
        <v>Disputa 5º/6º Jogador1</v>
      </c>
      <c r="CO137" s="136" t="str">
        <f>$P$60</f>
        <v>Disputa 5º/6º Jogador2</v>
      </c>
    </row>
    <row r="138" spans="52:93" ht="15" customHeight="1">
      <c r="AZ138" s="88"/>
      <c r="BA138" s="348"/>
      <c r="BB138" s="349"/>
      <c r="BC138" s="79"/>
      <c r="BD138" s="80"/>
      <c r="BE138" s="80"/>
      <c r="BF138" s="80"/>
      <c r="BG138" s="80"/>
      <c r="BH138" s="80"/>
      <c r="BI138" s="80"/>
      <c r="BJ138" s="80"/>
      <c r="BK138" s="80"/>
      <c r="BL138" s="81"/>
      <c r="BM138" s="179"/>
      <c r="BN138" s="181"/>
      <c r="BO138" s="82"/>
      <c r="BP138" s="82"/>
      <c r="BQ138" s="82"/>
      <c r="BR138" s="83"/>
      <c r="BS138" s="80"/>
      <c r="BT138" s="80"/>
      <c r="BU138" s="80"/>
      <c r="BV138" s="80"/>
      <c r="BW138" s="179"/>
      <c r="BX138" s="81"/>
      <c r="BY138" s="80"/>
      <c r="BZ138" s="80"/>
      <c r="CA138" s="80"/>
      <c r="CB138" s="80"/>
      <c r="CC138" s="80"/>
      <c r="CD138" s="80"/>
      <c r="CE138" s="80"/>
      <c r="CF138" s="80"/>
      <c r="CG138" s="98" t="s">
        <v>1</v>
      </c>
      <c r="CI138" s="136">
        <f>$O$70</f>
        <v>37</v>
      </c>
      <c r="CJ138" s="136" t="str">
        <f t="shared" si="0"/>
        <v>Iniciados</v>
      </c>
      <c r="CK138" s="136" t="str">
        <f t="shared" si="1"/>
        <v>Pares</v>
      </c>
      <c r="CL138" s="136" t="str">
        <f t="shared" si="2"/>
        <v>Mistos</v>
      </c>
      <c r="CM138" s="136" t="str">
        <f>"Disp 9º-12º - Jogo1"</f>
        <v>Disp 9º-12º - Jogo1</v>
      </c>
      <c r="CN138" s="136" t="str">
        <f>$I$68</f>
        <v>3º  do Grupo A</v>
      </c>
      <c r="CO138" s="136" t="str">
        <f>$I$72</f>
        <v>3º  do Grupo B</v>
      </c>
    </row>
    <row r="139" spans="52:93" ht="15" customHeight="1">
      <c r="AZ139" s="88"/>
      <c r="BA139" s="346" t="str">
        <f>IF($BA$133="","",$BA$133)</f>
        <v>B3</v>
      </c>
      <c r="BB139" s="347"/>
      <c r="BC139" s="74"/>
      <c r="BD139" s="75"/>
      <c r="BE139" s="75"/>
      <c r="BF139" s="75"/>
      <c r="BG139" s="75"/>
      <c r="BH139" s="75"/>
      <c r="BI139" s="75"/>
      <c r="BJ139" s="75"/>
      <c r="BK139" s="75"/>
      <c r="BL139" s="76"/>
      <c r="BM139" s="178"/>
      <c r="BN139" s="180"/>
      <c r="BO139" s="77"/>
      <c r="BP139" s="77"/>
      <c r="BQ139" s="77"/>
      <c r="BR139" s="78"/>
      <c r="BS139" s="75"/>
      <c r="BT139" s="75"/>
      <c r="BU139" s="75"/>
      <c r="BV139" s="75"/>
      <c r="BW139" s="178"/>
      <c r="BX139" s="76"/>
      <c r="BY139" s="75"/>
      <c r="BZ139" s="75"/>
      <c r="CA139" s="75"/>
      <c r="CB139" s="75"/>
      <c r="CC139" s="75"/>
      <c r="CD139" s="75"/>
      <c r="CE139" s="75"/>
      <c r="CF139" s="75"/>
      <c r="CG139" s="99"/>
      <c r="CI139" s="136">
        <f>$O$78</f>
        <v>38</v>
      </c>
      <c r="CJ139" s="136" t="str">
        <f t="shared" si="0"/>
        <v>Iniciados</v>
      </c>
      <c r="CK139" s="136" t="str">
        <f t="shared" si="1"/>
        <v>Pares</v>
      </c>
      <c r="CL139" s="136" t="str">
        <f t="shared" si="2"/>
        <v>Mistos</v>
      </c>
      <c r="CM139" s="136" t="str">
        <f>"Disp 9º-12º - Jogo2"</f>
        <v>Disp 9º-12º - Jogo2</v>
      </c>
      <c r="CN139" s="136" t="str">
        <f>$I$76</f>
        <v>3º  do Grupo C</v>
      </c>
      <c r="CO139" s="136" t="str">
        <f>$I$80</f>
        <v>3º  do Grupo D</v>
      </c>
    </row>
    <row r="140" spans="52:93" ht="15" customHeight="1">
      <c r="AZ140" s="88"/>
      <c r="BA140" s="348"/>
      <c r="BB140" s="349"/>
      <c r="BC140" s="79"/>
      <c r="BD140" s="80"/>
      <c r="BE140" s="80"/>
      <c r="BF140" s="80"/>
      <c r="BG140" s="80"/>
      <c r="BH140" s="80"/>
      <c r="BI140" s="80"/>
      <c r="BJ140" s="80"/>
      <c r="BK140" s="80"/>
      <c r="BL140" s="81"/>
      <c r="BM140" s="179"/>
      <c r="BN140" s="181"/>
      <c r="BO140" s="82"/>
      <c r="BP140" s="82"/>
      <c r="BQ140" s="82"/>
      <c r="BR140" s="83"/>
      <c r="BS140" s="80"/>
      <c r="BT140" s="80"/>
      <c r="BU140" s="80"/>
      <c r="BV140" s="80"/>
      <c r="BW140" s="179"/>
      <c r="BX140" s="81"/>
      <c r="BY140" s="80"/>
      <c r="BZ140" s="80"/>
      <c r="CA140" s="80"/>
      <c r="CB140" s="80"/>
      <c r="CC140" s="80"/>
      <c r="CD140" s="80"/>
      <c r="CE140" s="80"/>
      <c r="CF140" s="80"/>
      <c r="CG140" s="92"/>
      <c r="CI140" s="136">
        <f>$V$74</f>
        <v>39</v>
      </c>
      <c r="CJ140" s="136" t="str">
        <f t="shared" si="0"/>
        <v>Iniciados</v>
      </c>
      <c r="CK140" s="136" t="str">
        <f t="shared" si="1"/>
        <v>Pares</v>
      </c>
      <c r="CL140" s="136" t="str">
        <f t="shared" si="2"/>
        <v>Mistos</v>
      </c>
      <c r="CM140" s="136" t="str">
        <f>"Jogo 11º/12º lugar"</f>
        <v>Jogo 11º/12º lugar</v>
      </c>
      <c r="CN140" s="136" t="str">
        <f>$P$72</f>
        <v>Disputa 11º/12º  Jogador1</v>
      </c>
      <c r="CO140" s="136" t="str">
        <f>$P$76</f>
        <v>Disputa 11º/12º  Jogador2</v>
      </c>
    </row>
    <row r="141" spans="52:93" ht="12.75" customHeight="1">
      <c r="AZ141" s="88"/>
      <c r="BA141" s="84"/>
      <c r="BB141" s="84"/>
      <c r="BC141" s="100">
        <v>1</v>
      </c>
      <c r="BD141" s="100">
        <v>2</v>
      </c>
      <c r="BE141" s="100">
        <v>3</v>
      </c>
      <c r="BF141" s="100">
        <v>4</v>
      </c>
      <c r="BG141" s="100">
        <v>5</v>
      </c>
      <c r="BH141" s="100">
        <v>6</v>
      </c>
      <c r="BI141" s="100">
        <v>7</v>
      </c>
      <c r="BJ141" s="100">
        <v>8</v>
      </c>
      <c r="BK141" s="100">
        <v>9</v>
      </c>
      <c r="BL141" s="100">
        <v>10</v>
      </c>
      <c r="BM141" s="100">
        <v>11</v>
      </c>
      <c r="BN141" s="100">
        <v>12</v>
      </c>
      <c r="BO141" s="100">
        <v>13</v>
      </c>
      <c r="BP141" s="100">
        <v>14</v>
      </c>
      <c r="BQ141" s="100">
        <v>15</v>
      </c>
      <c r="BR141" s="100">
        <v>16</v>
      </c>
      <c r="BS141" s="100">
        <v>17</v>
      </c>
      <c r="BT141" s="100">
        <v>18</v>
      </c>
      <c r="BU141" s="100">
        <v>19</v>
      </c>
      <c r="BV141" s="100">
        <v>20</v>
      </c>
      <c r="BW141" s="100">
        <v>21</v>
      </c>
      <c r="BX141" s="100">
        <v>22</v>
      </c>
      <c r="BY141" s="100">
        <v>23</v>
      </c>
      <c r="BZ141" s="100">
        <v>24</v>
      </c>
      <c r="CA141" s="100">
        <v>25</v>
      </c>
      <c r="CB141" s="100">
        <v>26</v>
      </c>
      <c r="CC141" s="100">
        <v>27</v>
      </c>
      <c r="CD141" s="100">
        <v>28</v>
      </c>
      <c r="CE141" s="100">
        <v>29</v>
      </c>
      <c r="CF141" s="100">
        <v>30</v>
      </c>
      <c r="CG141" s="101"/>
      <c r="CI141" s="136">
        <f>$W$74</f>
        <v>40</v>
      </c>
      <c r="CJ141" s="136" t="str">
        <f t="shared" si="0"/>
        <v>Iniciados</v>
      </c>
      <c r="CK141" s="136" t="str">
        <f t="shared" si="1"/>
        <v>Pares</v>
      </c>
      <c r="CL141" s="136" t="str">
        <f t="shared" si="2"/>
        <v>Mistos</v>
      </c>
      <c r="CM141" s="136" t="str">
        <f>"Jogo 9º/10º lugar"</f>
        <v>Jogo 9º/10º lugar</v>
      </c>
      <c r="CN141" s="136" t="str">
        <f>$P$70</f>
        <v>Disputa 9º/10º Jogador1</v>
      </c>
      <c r="CO141" s="136" t="str">
        <f>$P$78</f>
        <v>Disputa 9º/10º Jogador2</v>
      </c>
    </row>
    <row r="142" spans="52:93" ht="15" customHeight="1">
      <c r="AZ142" s="88"/>
      <c r="BA142" s="346" t="str">
        <f>IF($BA$131="","",$BA$131)</f>
        <v>B2</v>
      </c>
      <c r="BB142" s="347"/>
      <c r="BC142" s="74"/>
      <c r="BD142" s="75"/>
      <c r="BE142" s="75"/>
      <c r="BF142" s="75"/>
      <c r="BG142" s="75"/>
      <c r="BH142" s="75"/>
      <c r="BI142" s="75"/>
      <c r="BJ142" s="75"/>
      <c r="BK142" s="75"/>
      <c r="BL142" s="76"/>
      <c r="BM142" s="178"/>
      <c r="BN142" s="180"/>
      <c r="BO142" s="77"/>
      <c r="BP142" s="77"/>
      <c r="BQ142" s="77"/>
      <c r="BR142" s="78"/>
      <c r="BS142" s="75"/>
      <c r="BT142" s="75"/>
      <c r="BU142" s="75"/>
      <c r="BV142" s="75"/>
      <c r="BW142" s="178"/>
      <c r="BX142" s="76"/>
      <c r="BY142" s="75"/>
      <c r="BZ142" s="75"/>
      <c r="CA142" s="75"/>
      <c r="CB142" s="75"/>
      <c r="CC142" s="75"/>
      <c r="CD142" s="75"/>
      <c r="CE142" s="75"/>
      <c r="CF142" s="75"/>
      <c r="CG142" s="92"/>
      <c r="CI142" s="136">
        <f>$O$88</f>
        <v>41</v>
      </c>
      <c r="CJ142" s="136" t="str">
        <f t="shared" si="0"/>
        <v>Iniciados</v>
      </c>
      <c r="CK142" s="136" t="str">
        <f t="shared" si="1"/>
        <v>Pares</v>
      </c>
      <c r="CL142" s="136" t="str">
        <f t="shared" si="2"/>
        <v>Mistos</v>
      </c>
      <c r="CM142" s="136" t="str">
        <f>"Disp 13º-16º - Jogo1"</f>
        <v>Disp 13º-16º - Jogo1</v>
      </c>
      <c r="CN142" s="136" t="str">
        <f>$I$86</f>
        <v>4º  do Grupo A</v>
      </c>
      <c r="CO142" s="136" t="str">
        <f>$I$90</f>
        <v>4º  do Grupo B</v>
      </c>
    </row>
    <row r="143" spans="52:93" ht="15" customHeight="1">
      <c r="AZ143" s="88"/>
      <c r="BA143" s="348"/>
      <c r="BB143" s="349"/>
      <c r="BC143" s="79"/>
      <c r="BD143" s="80"/>
      <c r="BE143" s="80"/>
      <c r="BF143" s="80"/>
      <c r="BG143" s="80"/>
      <c r="BH143" s="80"/>
      <c r="BI143" s="80"/>
      <c r="BJ143" s="80"/>
      <c r="BK143" s="80"/>
      <c r="BL143" s="81"/>
      <c r="BM143" s="179"/>
      <c r="BN143" s="181"/>
      <c r="BO143" s="82"/>
      <c r="BP143" s="82"/>
      <c r="BQ143" s="82"/>
      <c r="BR143" s="83"/>
      <c r="BS143" s="80"/>
      <c r="BT143" s="80"/>
      <c r="BU143" s="80"/>
      <c r="BV143" s="80"/>
      <c r="BW143" s="179"/>
      <c r="BX143" s="81"/>
      <c r="BY143" s="80"/>
      <c r="BZ143" s="80"/>
      <c r="CA143" s="80"/>
      <c r="CB143" s="80"/>
      <c r="CC143" s="80"/>
      <c r="CD143" s="80"/>
      <c r="CE143" s="80"/>
      <c r="CF143" s="80"/>
      <c r="CG143" s="92"/>
      <c r="CI143" s="136">
        <f>$O$96</f>
        <v>42</v>
      </c>
      <c r="CJ143" s="136" t="str">
        <f t="shared" si="0"/>
        <v>Iniciados</v>
      </c>
      <c r="CK143" s="136" t="str">
        <f t="shared" si="1"/>
        <v>Pares</v>
      </c>
      <c r="CL143" s="136" t="str">
        <f t="shared" si="2"/>
        <v>Mistos</v>
      </c>
      <c r="CM143" s="136" t="str">
        <f>"Disp 13º-16º - Jogo2"</f>
        <v>Disp 13º-16º - Jogo2</v>
      </c>
      <c r="CN143" s="136" t="str">
        <f>$I$94</f>
        <v>4º  do Grupo C</v>
      </c>
      <c r="CO143" s="136" t="str">
        <f>$I$98</f>
        <v>4º  do Grupo D</v>
      </c>
    </row>
    <row r="144" spans="52:93" ht="15" customHeight="1">
      <c r="AZ144" s="88"/>
      <c r="BA144" s="346" t="str">
        <f>IF($BA$133="","",$BA$133)</f>
        <v>B3</v>
      </c>
      <c r="BB144" s="347"/>
      <c r="BC144" s="74"/>
      <c r="BD144" s="75"/>
      <c r="BE144" s="75"/>
      <c r="BF144" s="75"/>
      <c r="BG144" s="75"/>
      <c r="BH144" s="75"/>
      <c r="BI144" s="75"/>
      <c r="BJ144" s="75"/>
      <c r="BK144" s="75"/>
      <c r="BL144" s="76"/>
      <c r="BM144" s="178"/>
      <c r="BN144" s="180"/>
      <c r="BO144" s="77"/>
      <c r="BP144" s="77"/>
      <c r="BQ144" s="77"/>
      <c r="BR144" s="78"/>
      <c r="BS144" s="75"/>
      <c r="BT144" s="75"/>
      <c r="BU144" s="75"/>
      <c r="BV144" s="75"/>
      <c r="BW144" s="178"/>
      <c r="BX144" s="76"/>
      <c r="BY144" s="75"/>
      <c r="BZ144" s="75"/>
      <c r="CA144" s="75"/>
      <c r="CB144" s="75"/>
      <c r="CC144" s="75"/>
      <c r="CD144" s="75"/>
      <c r="CE144" s="75"/>
      <c r="CF144" s="75"/>
      <c r="CG144" s="98" t="s">
        <v>2</v>
      </c>
      <c r="CI144" s="136">
        <f>$V$92</f>
        <v>43</v>
      </c>
      <c r="CJ144" s="136" t="str">
        <f t="shared" si="0"/>
        <v>Iniciados</v>
      </c>
      <c r="CK144" s="136" t="str">
        <f t="shared" si="1"/>
        <v>Pares</v>
      </c>
      <c r="CL144" s="136" t="str">
        <f t="shared" si="2"/>
        <v>Mistos</v>
      </c>
      <c r="CM144" s="136" t="str">
        <f>"Jogo 15º/16º lugar"</f>
        <v>Jogo 15º/16º lugar</v>
      </c>
      <c r="CN144" s="136" t="str">
        <f>$P$90</f>
        <v>Disputa 15º/16º  Jogador1</v>
      </c>
      <c r="CO144" s="136" t="str">
        <f>$P$94</f>
        <v>Disputa 15º/16º  Jogador2</v>
      </c>
    </row>
    <row r="145" spans="52:93" ht="15" customHeight="1">
      <c r="AZ145" s="88"/>
      <c r="BA145" s="348"/>
      <c r="BB145" s="349"/>
      <c r="BC145" s="79"/>
      <c r="BD145" s="80"/>
      <c r="BE145" s="80"/>
      <c r="BF145" s="80"/>
      <c r="BG145" s="80"/>
      <c r="BH145" s="80"/>
      <c r="BI145" s="80"/>
      <c r="BJ145" s="80"/>
      <c r="BK145" s="80"/>
      <c r="BL145" s="81"/>
      <c r="BM145" s="179"/>
      <c r="BN145" s="181"/>
      <c r="BO145" s="82"/>
      <c r="BP145" s="82"/>
      <c r="BQ145" s="82"/>
      <c r="BR145" s="83"/>
      <c r="BS145" s="80"/>
      <c r="BT145" s="80"/>
      <c r="BU145" s="80"/>
      <c r="BV145" s="80"/>
      <c r="BW145" s="179"/>
      <c r="BX145" s="81"/>
      <c r="BY145" s="80"/>
      <c r="BZ145" s="80"/>
      <c r="CA145" s="80"/>
      <c r="CB145" s="80"/>
      <c r="CC145" s="80"/>
      <c r="CD145" s="80"/>
      <c r="CE145" s="80"/>
      <c r="CF145" s="80"/>
      <c r="CG145" s="92"/>
      <c r="CI145" s="136">
        <f>$W$92</f>
        <v>44</v>
      </c>
      <c r="CJ145" s="136" t="str">
        <f t="shared" si="0"/>
        <v>Iniciados</v>
      </c>
      <c r="CK145" s="136" t="str">
        <f t="shared" si="1"/>
        <v>Pares</v>
      </c>
      <c r="CL145" s="136" t="str">
        <f t="shared" si="2"/>
        <v>Mistos</v>
      </c>
      <c r="CM145" s="136" t="str">
        <f>"Jogo 13º/14º lugar"</f>
        <v>Jogo 13º/14º lugar</v>
      </c>
      <c r="CN145" s="136" t="str">
        <f>$P$88</f>
        <v>Disputa 13º/14º Jogador1</v>
      </c>
      <c r="CO145" s="136" t="str">
        <f>$P$96</f>
        <v>Disputa 13º/14º Jogador2</v>
      </c>
    </row>
    <row r="146" spans="52:93" ht="12.75" customHeight="1">
      <c r="AZ146" s="88"/>
      <c r="BA146" s="84"/>
      <c r="BB146" s="84"/>
      <c r="BC146" s="100">
        <v>1</v>
      </c>
      <c r="BD146" s="100">
        <v>2</v>
      </c>
      <c r="BE146" s="100">
        <v>3</v>
      </c>
      <c r="BF146" s="100">
        <v>4</v>
      </c>
      <c r="BG146" s="100">
        <v>5</v>
      </c>
      <c r="BH146" s="100">
        <v>6</v>
      </c>
      <c r="BI146" s="100">
        <v>7</v>
      </c>
      <c r="BJ146" s="100">
        <v>8</v>
      </c>
      <c r="BK146" s="100">
        <v>9</v>
      </c>
      <c r="BL146" s="100">
        <v>10</v>
      </c>
      <c r="BM146" s="100">
        <v>11</v>
      </c>
      <c r="BN146" s="100">
        <v>12</v>
      </c>
      <c r="BO146" s="100">
        <v>13</v>
      </c>
      <c r="BP146" s="100">
        <v>14</v>
      </c>
      <c r="BQ146" s="100">
        <v>15</v>
      </c>
      <c r="BR146" s="100">
        <v>16</v>
      </c>
      <c r="BS146" s="100">
        <v>17</v>
      </c>
      <c r="BT146" s="100">
        <v>18</v>
      </c>
      <c r="BU146" s="100">
        <v>19</v>
      </c>
      <c r="BV146" s="100">
        <v>20</v>
      </c>
      <c r="BW146" s="100">
        <v>21</v>
      </c>
      <c r="BX146" s="100">
        <v>22</v>
      </c>
      <c r="BY146" s="100">
        <v>23</v>
      </c>
      <c r="BZ146" s="100">
        <v>24</v>
      </c>
      <c r="CA146" s="100">
        <v>25</v>
      </c>
      <c r="CB146" s="100">
        <v>26</v>
      </c>
      <c r="CC146" s="100">
        <v>27</v>
      </c>
      <c r="CD146" s="100">
        <v>28</v>
      </c>
      <c r="CE146" s="100">
        <v>29</v>
      </c>
      <c r="CF146" s="100">
        <v>30</v>
      </c>
      <c r="CG146" s="101"/>
    </row>
    <row r="147" spans="52:93" ht="15" customHeight="1">
      <c r="AZ147" s="88"/>
      <c r="BA147" s="346" t="str">
        <f>IF($BA$131="","",$BA$131)</f>
        <v>B2</v>
      </c>
      <c r="BB147" s="347"/>
      <c r="BC147" s="74"/>
      <c r="BD147" s="75"/>
      <c r="BE147" s="75"/>
      <c r="BF147" s="75"/>
      <c r="BG147" s="75"/>
      <c r="BH147" s="75"/>
      <c r="BI147" s="75"/>
      <c r="BJ147" s="75"/>
      <c r="BK147" s="75"/>
      <c r="BL147" s="76"/>
      <c r="BM147" s="178"/>
      <c r="BN147" s="180"/>
      <c r="BO147" s="77"/>
      <c r="BP147" s="77"/>
      <c r="BQ147" s="77"/>
      <c r="BR147" s="78"/>
      <c r="BS147" s="75"/>
      <c r="BT147" s="75"/>
      <c r="BU147" s="75"/>
      <c r="BV147" s="75"/>
      <c r="BW147" s="178"/>
      <c r="BX147" s="76"/>
      <c r="BY147" s="75"/>
      <c r="BZ147" s="75"/>
      <c r="CA147" s="75"/>
      <c r="CB147" s="75"/>
      <c r="CC147" s="75"/>
      <c r="CD147" s="75"/>
      <c r="CE147" s="75"/>
      <c r="CF147" s="75"/>
      <c r="CG147" s="92"/>
    </row>
    <row r="148" spans="52:93" ht="15" customHeight="1">
      <c r="AZ148" s="88"/>
      <c r="BA148" s="348"/>
      <c r="BB148" s="349"/>
      <c r="BC148" s="79"/>
      <c r="BD148" s="80"/>
      <c r="BE148" s="80"/>
      <c r="BF148" s="80"/>
      <c r="BG148" s="80"/>
      <c r="BH148" s="80"/>
      <c r="BI148" s="80"/>
      <c r="BJ148" s="80"/>
      <c r="BK148" s="80"/>
      <c r="BL148" s="81"/>
      <c r="BM148" s="179"/>
      <c r="BN148" s="181"/>
      <c r="BO148" s="82"/>
      <c r="BP148" s="82"/>
      <c r="BQ148" s="82"/>
      <c r="BR148" s="83"/>
      <c r="BS148" s="80"/>
      <c r="BT148" s="80"/>
      <c r="BU148" s="80"/>
      <c r="BV148" s="80"/>
      <c r="BW148" s="179"/>
      <c r="BX148" s="81"/>
      <c r="BY148" s="80"/>
      <c r="BZ148" s="80"/>
      <c r="CA148" s="80"/>
      <c r="CB148" s="80"/>
      <c r="CC148" s="80"/>
      <c r="CD148" s="80"/>
      <c r="CE148" s="80"/>
      <c r="CF148" s="80"/>
      <c r="CG148" s="92"/>
    </row>
    <row r="149" spans="52:93" ht="15" customHeight="1">
      <c r="AZ149" s="88"/>
      <c r="BA149" s="346" t="str">
        <f>IF($BA$133="","",$BA$133)</f>
        <v>B3</v>
      </c>
      <c r="BB149" s="347"/>
      <c r="BC149" s="74"/>
      <c r="BD149" s="75"/>
      <c r="BE149" s="75"/>
      <c r="BF149" s="75"/>
      <c r="BG149" s="75"/>
      <c r="BH149" s="75"/>
      <c r="BI149" s="75"/>
      <c r="BJ149" s="75"/>
      <c r="BK149" s="75"/>
      <c r="BL149" s="76"/>
      <c r="BM149" s="178"/>
      <c r="BN149" s="180"/>
      <c r="BO149" s="77"/>
      <c r="BP149" s="77"/>
      <c r="BQ149" s="77"/>
      <c r="BR149" s="78"/>
      <c r="BS149" s="75"/>
      <c r="BT149" s="75"/>
      <c r="BU149" s="75"/>
      <c r="BV149" s="75"/>
      <c r="BW149" s="178"/>
      <c r="BX149" s="76"/>
      <c r="BY149" s="75"/>
      <c r="BZ149" s="75"/>
      <c r="CA149" s="75"/>
      <c r="CB149" s="75"/>
      <c r="CC149" s="75"/>
      <c r="CD149" s="75"/>
      <c r="CE149" s="75"/>
      <c r="CF149" s="75"/>
      <c r="CG149" s="98" t="s">
        <v>3</v>
      </c>
    </row>
    <row r="150" spans="52:93" ht="15" customHeight="1">
      <c r="AZ150" s="88"/>
      <c r="BA150" s="348"/>
      <c r="BB150" s="349"/>
      <c r="BC150" s="79"/>
      <c r="BD150" s="80"/>
      <c r="BE150" s="80"/>
      <c r="BF150" s="80"/>
      <c r="BG150" s="80"/>
      <c r="BH150" s="80"/>
      <c r="BI150" s="80"/>
      <c r="BJ150" s="80"/>
      <c r="BK150" s="80"/>
      <c r="BL150" s="81"/>
      <c r="BM150" s="179"/>
      <c r="BN150" s="181"/>
      <c r="BO150" s="82"/>
      <c r="BP150" s="82"/>
      <c r="BQ150" s="82"/>
      <c r="BR150" s="83"/>
      <c r="BS150" s="80"/>
      <c r="BT150" s="80"/>
      <c r="BU150" s="80"/>
      <c r="BV150" s="80"/>
      <c r="BW150" s="179"/>
      <c r="BX150" s="81"/>
      <c r="BY150" s="80"/>
      <c r="BZ150" s="80"/>
      <c r="CA150" s="80"/>
      <c r="CB150" s="80"/>
      <c r="CC150" s="80"/>
      <c r="CD150" s="80"/>
      <c r="CE150" s="80"/>
      <c r="CF150" s="80"/>
      <c r="CG150" s="92"/>
    </row>
    <row r="151" spans="52:93" ht="44.25" customHeight="1">
      <c r="AZ151" s="102"/>
      <c r="BA151" s="103" t="s">
        <v>35</v>
      </c>
      <c r="BB151" s="104"/>
      <c r="BC151" s="105"/>
      <c r="BD151" s="105"/>
      <c r="BE151" s="105"/>
      <c r="BF151" s="105"/>
      <c r="BG151" s="105"/>
      <c r="BH151" s="105"/>
      <c r="BI151" s="105"/>
      <c r="BJ151" s="105"/>
      <c r="BK151" s="105"/>
      <c r="BL151" s="105"/>
      <c r="BM151" s="105"/>
      <c r="BN151" s="105"/>
      <c r="BO151" s="105"/>
      <c r="BP151" s="105"/>
      <c r="BQ151" s="105"/>
      <c r="BR151" s="85"/>
      <c r="BS151" s="85"/>
      <c r="BT151" s="85"/>
      <c r="BU151" s="85"/>
      <c r="BV151" s="85"/>
      <c r="BW151" s="85"/>
      <c r="BX151" s="85"/>
      <c r="BY151" s="85"/>
      <c r="BZ151" s="85"/>
      <c r="CA151" s="85"/>
      <c r="CB151" s="85"/>
      <c r="CC151" s="85"/>
      <c r="CD151" s="85"/>
      <c r="CE151" s="85"/>
      <c r="CF151" s="85"/>
      <c r="CG151" s="81"/>
    </row>
    <row r="152" spans="52:93" ht="26.25" customHeight="1">
      <c r="AZ152" s="345"/>
      <c r="BA152" s="345"/>
      <c r="BB152" s="345"/>
      <c r="BC152" s="345"/>
      <c r="BD152" s="345"/>
      <c r="BE152" s="345"/>
      <c r="BF152" s="345"/>
      <c r="BG152" s="345"/>
      <c r="BH152" s="345"/>
      <c r="BI152" s="345"/>
      <c r="BJ152" s="345"/>
      <c r="BK152" s="345"/>
      <c r="BL152" s="345"/>
      <c r="BM152" s="345"/>
      <c r="BN152" s="345"/>
      <c r="BO152" s="345"/>
      <c r="BP152" s="345"/>
      <c r="BQ152" s="345"/>
      <c r="BR152" s="345"/>
      <c r="BS152" s="345"/>
      <c r="BT152" s="345"/>
      <c r="BU152" s="345"/>
      <c r="BV152" s="345"/>
      <c r="BW152" s="345"/>
      <c r="BX152" s="345"/>
      <c r="BY152" s="345"/>
      <c r="BZ152" s="345"/>
      <c r="CA152" s="345"/>
      <c r="CB152" s="345"/>
      <c r="CC152" s="345"/>
      <c r="CD152" s="345"/>
      <c r="CE152" s="345"/>
      <c r="CF152" s="345"/>
      <c r="CG152" s="345"/>
    </row>
    <row r="153" spans="52:93" ht="22.5" customHeight="1"/>
    <row r="154" spans="52:93" ht="22.5" customHeight="1"/>
    <row r="155" spans="52:93" ht="22.5" customHeight="1"/>
  </sheetData>
  <sheetProtection sheet="1" objects="1" scenarios="1" formatCells="0" formatColumns="0" formatRows="0" autoFilter="0"/>
  <mergeCells count="304">
    <mergeCell ref="C2:F2"/>
    <mergeCell ref="H2:X2"/>
    <mergeCell ref="C3:F3"/>
    <mergeCell ref="H3:O3"/>
    <mergeCell ref="Q3:X3"/>
    <mergeCell ref="C5:I5"/>
    <mergeCell ref="J5:P5"/>
    <mergeCell ref="Q5:W5"/>
    <mergeCell ref="X5:AD5"/>
    <mergeCell ref="AG5:AJ7"/>
    <mergeCell ref="D6:F6"/>
    <mergeCell ref="K6:M6"/>
    <mergeCell ref="R6:T6"/>
    <mergeCell ref="Y6:AA6"/>
    <mergeCell ref="D7:F7"/>
    <mergeCell ref="K7:M7"/>
    <mergeCell ref="R7:T7"/>
    <mergeCell ref="Y7:AA7"/>
    <mergeCell ref="AO9:AO10"/>
    <mergeCell ref="AP9:AP10"/>
    <mergeCell ref="AQ9:AQ10"/>
    <mergeCell ref="AR9:AR10"/>
    <mergeCell ref="AS9:AS10"/>
    <mergeCell ref="D10:F10"/>
    <mergeCell ref="K10:M10"/>
    <mergeCell ref="R10:T10"/>
    <mergeCell ref="Y10:AA10"/>
    <mergeCell ref="AK10:AL10"/>
    <mergeCell ref="AI8:AI9"/>
    <mergeCell ref="AJ8:AJ9"/>
    <mergeCell ref="D9:F9"/>
    <mergeCell ref="K9:M9"/>
    <mergeCell ref="R9:T9"/>
    <mergeCell ref="Y9:AA9"/>
    <mergeCell ref="D8:F8"/>
    <mergeCell ref="K8:M8"/>
    <mergeCell ref="R8:T8"/>
    <mergeCell ref="Y8:AA8"/>
    <mergeCell ref="AG8:AG9"/>
    <mergeCell ref="AH8:AH9"/>
    <mergeCell ref="D13:H13"/>
    <mergeCell ref="K13:O13"/>
    <mergeCell ref="R13:V13"/>
    <mergeCell ref="Y13:AC13"/>
    <mergeCell ref="D14:H14"/>
    <mergeCell ref="K14:O14"/>
    <mergeCell ref="R14:V14"/>
    <mergeCell ref="Y14:AC14"/>
    <mergeCell ref="C11:I11"/>
    <mergeCell ref="J11:P11"/>
    <mergeCell ref="Q11:W11"/>
    <mergeCell ref="X11:AD11"/>
    <mergeCell ref="D12:H12"/>
    <mergeCell ref="K12:O12"/>
    <mergeCell ref="R12:V12"/>
    <mergeCell ref="Y12:AC12"/>
    <mergeCell ref="D15:H15"/>
    <mergeCell ref="K15:O15"/>
    <mergeCell ref="R15:V15"/>
    <mergeCell ref="Y15:AC15"/>
    <mergeCell ref="AK15:AL15"/>
    <mergeCell ref="C16:C17"/>
    <mergeCell ref="D16:E16"/>
    <mergeCell ref="J16:J17"/>
    <mergeCell ref="K16:L16"/>
    <mergeCell ref="Q16:Q17"/>
    <mergeCell ref="R16:S16"/>
    <mergeCell ref="X16:X17"/>
    <mergeCell ref="Y16:Z16"/>
    <mergeCell ref="AE16:AE19"/>
    <mergeCell ref="D17:E17"/>
    <mergeCell ref="K17:L17"/>
    <mergeCell ref="R17:S17"/>
    <mergeCell ref="Y17:Z17"/>
    <mergeCell ref="X18:X19"/>
    <mergeCell ref="Y18:Z18"/>
    <mergeCell ref="Y19:Z19"/>
    <mergeCell ref="C20:C21"/>
    <mergeCell ref="D20:E20"/>
    <mergeCell ref="J20:J21"/>
    <mergeCell ref="K20:L20"/>
    <mergeCell ref="Q20:Q21"/>
    <mergeCell ref="R20:S20"/>
    <mergeCell ref="X20:X21"/>
    <mergeCell ref="Y20:Z20"/>
    <mergeCell ref="C18:C19"/>
    <mergeCell ref="D18:E18"/>
    <mergeCell ref="J18:J19"/>
    <mergeCell ref="K18:L18"/>
    <mergeCell ref="Q18:Q19"/>
    <mergeCell ref="R18:S18"/>
    <mergeCell ref="D19:E19"/>
    <mergeCell ref="K19:L19"/>
    <mergeCell ref="R19:S19"/>
    <mergeCell ref="AE20:AE23"/>
    <mergeCell ref="AK20:AL20"/>
    <mergeCell ref="D21:E21"/>
    <mergeCell ref="K21:L21"/>
    <mergeCell ref="R21:S21"/>
    <mergeCell ref="Y21:Z21"/>
    <mergeCell ref="X22:X23"/>
    <mergeCell ref="Y22:Z22"/>
    <mergeCell ref="Y23:Z23"/>
    <mergeCell ref="C24:C25"/>
    <mergeCell ref="D24:E24"/>
    <mergeCell ref="J24:J25"/>
    <mergeCell ref="K24:L24"/>
    <mergeCell ref="Q24:Q25"/>
    <mergeCell ref="R24:S24"/>
    <mergeCell ref="C22:C23"/>
    <mergeCell ref="D22:E22"/>
    <mergeCell ref="J22:J23"/>
    <mergeCell ref="K22:L22"/>
    <mergeCell ref="Q22:Q23"/>
    <mergeCell ref="R22:S22"/>
    <mergeCell ref="D23:E23"/>
    <mergeCell ref="K23:L23"/>
    <mergeCell ref="R23:S23"/>
    <mergeCell ref="X24:X25"/>
    <mergeCell ref="Y24:Z24"/>
    <mergeCell ref="AE24:AE27"/>
    <mergeCell ref="D25:E25"/>
    <mergeCell ref="K25:L25"/>
    <mergeCell ref="R25:S25"/>
    <mergeCell ref="Y25:Z25"/>
    <mergeCell ref="X26:X27"/>
    <mergeCell ref="Y26:Z26"/>
    <mergeCell ref="AG26:AH26"/>
    <mergeCell ref="AI26:AJ26"/>
    <mergeCell ref="D27:E27"/>
    <mergeCell ref="K27:L27"/>
    <mergeCell ref="R27:S27"/>
    <mergeCell ref="Y27:Z27"/>
    <mergeCell ref="AG27:AH28"/>
    <mergeCell ref="AI27:AJ28"/>
    <mergeCell ref="C28:P28"/>
    <mergeCell ref="C26:C27"/>
    <mergeCell ref="D26:E26"/>
    <mergeCell ref="J26:J27"/>
    <mergeCell ref="K26:L26"/>
    <mergeCell ref="Q26:Q27"/>
    <mergeCell ref="R26:S26"/>
    <mergeCell ref="C32:D32"/>
    <mergeCell ref="Y32:AC32"/>
    <mergeCell ref="AP32:AR32"/>
    <mergeCell ref="P33:S33"/>
    <mergeCell ref="Y33:AC33"/>
    <mergeCell ref="AP33:AR33"/>
    <mergeCell ref="Y29:AD30"/>
    <mergeCell ref="AG29:AJ31"/>
    <mergeCell ref="AP29:AR29"/>
    <mergeCell ref="C30:D30"/>
    <mergeCell ref="AP30:AR30"/>
    <mergeCell ref="I31:K31"/>
    <mergeCell ref="Y31:AC31"/>
    <mergeCell ref="AP31:AR31"/>
    <mergeCell ref="C36:D36"/>
    <mergeCell ref="AP36:AR36"/>
    <mergeCell ref="P37:U37"/>
    <mergeCell ref="X37:AC37"/>
    <mergeCell ref="AP37:AR37"/>
    <mergeCell ref="C38:D38"/>
    <mergeCell ref="Y38:AC38"/>
    <mergeCell ref="AP38:AR38"/>
    <mergeCell ref="C34:D34"/>
    <mergeCell ref="Y34:AC34"/>
    <mergeCell ref="AP34:AR34"/>
    <mergeCell ref="I35:K35"/>
    <mergeCell ref="P35:R35"/>
    <mergeCell ref="AP35:AR35"/>
    <mergeCell ref="C42:D42"/>
    <mergeCell ref="AP42:AR42"/>
    <mergeCell ref="I43:K43"/>
    <mergeCell ref="AP43:AR43"/>
    <mergeCell ref="C44:D44"/>
    <mergeCell ref="AP44:AR44"/>
    <mergeCell ref="I39:K39"/>
    <mergeCell ref="P39:R39"/>
    <mergeCell ref="AP39:AR39"/>
    <mergeCell ref="C40:D40"/>
    <mergeCell ref="AP40:AR40"/>
    <mergeCell ref="P41:S41"/>
    <mergeCell ref="AP41:AR41"/>
    <mergeCell ref="B49:D49"/>
    <mergeCell ref="AP49:AR49"/>
    <mergeCell ref="I50:K50"/>
    <mergeCell ref="Y50:AC50"/>
    <mergeCell ref="AP50:AR50"/>
    <mergeCell ref="Y51:AC51"/>
    <mergeCell ref="AP51:AR51"/>
    <mergeCell ref="AP45:AR45"/>
    <mergeCell ref="AP46:AR46"/>
    <mergeCell ref="AP47:AR47"/>
    <mergeCell ref="I48:W49"/>
    <mergeCell ref="Y48:AD49"/>
    <mergeCell ref="AP48:AR48"/>
    <mergeCell ref="P56:U56"/>
    <mergeCell ref="X56:AC56"/>
    <mergeCell ref="Y57:AC57"/>
    <mergeCell ref="I58:K58"/>
    <mergeCell ref="P58:R58"/>
    <mergeCell ref="P60:S60"/>
    <mergeCell ref="P52:S52"/>
    <mergeCell ref="Y52:AC52"/>
    <mergeCell ref="AP52:AR52"/>
    <mergeCell ref="Y53:AC53"/>
    <mergeCell ref="AP53:AR53"/>
    <mergeCell ref="I54:K54"/>
    <mergeCell ref="P54:R54"/>
    <mergeCell ref="AP54:AR54"/>
    <mergeCell ref="I68:K68"/>
    <mergeCell ref="Y68:AC68"/>
    <mergeCell ref="AP68:AR68"/>
    <mergeCell ref="Y69:AC69"/>
    <mergeCell ref="AP69:AR69"/>
    <mergeCell ref="P70:S70"/>
    <mergeCell ref="Y70:AC70"/>
    <mergeCell ref="AP70:AR70"/>
    <mergeCell ref="I62:K62"/>
    <mergeCell ref="AP65:AR65"/>
    <mergeCell ref="I66:W67"/>
    <mergeCell ref="Y66:AD67"/>
    <mergeCell ref="AP66:AR66"/>
    <mergeCell ref="AP67:AR67"/>
    <mergeCell ref="Y75:AC75"/>
    <mergeCell ref="I76:K76"/>
    <mergeCell ref="P76:R76"/>
    <mergeCell ref="P78:S78"/>
    <mergeCell ref="I80:K80"/>
    <mergeCell ref="AP83:AR83"/>
    <mergeCell ref="Y71:AC71"/>
    <mergeCell ref="AP71:AR71"/>
    <mergeCell ref="I72:K72"/>
    <mergeCell ref="P72:R72"/>
    <mergeCell ref="AP72:AR72"/>
    <mergeCell ref="P74:U74"/>
    <mergeCell ref="X74:AC74"/>
    <mergeCell ref="Y87:AC87"/>
    <mergeCell ref="AP87:AR87"/>
    <mergeCell ref="P88:S88"/>
    <mergeCell ref="Y88:AC88"/>
    <mergeCell ref="AP88:AR88"/>
    <mergeCell ref="Y89:AC89"/>
    <mergeCell ref="AP89:AR89"/>
    <mergeCell ref="I84:W85"/>
    <mergeCell ref="Y84:AD85"/>
    <mergeCell ref="AP84:AR84"/>
    <mergeCell ref="AP85:AR85"/>
    <mergeCell ref="I86:K86"/>
    <mergeCell ref="Y86:AC86"/>
    <mergeCell ref="AP86:AR86"/>
    <mergeCell ref="I94:K94"/>
    <mergeCell ref="P94:R94"/>
    <mergeCell ref="P96:S96"/>
    <mergeCell ref="I98:K98"/>
    <mergeCell ref="AZ100:CG100"/>
    <mergeCell ref="BA101:BM101"/>
    <mergeCell ref="I90:K90"/>
    <mergeCell ref="P90:R90"/>
    <mergeCell ref="AP90:AR90"/>
    <mergeCell ref="P92:U92"/>
    <mergeCell ref="X92:AC92"/>
    <mergeCell ref="Y93:AC93"/>
    <mergeCell ref="BA107:BB108"/>
    <mergeCell ref="BC107:BE108"/>
    <mergeCell ref="BF107:BH108"/>
    <mergeCell ref="BI107:BK108"/>
    <mergeCell ref="BN107:BP108"/>
    <mergeCell ref="BB109:BK109"/>
    <mergeCell ref="BL109:BP109"/>
    <mergeCell ref="BA104:BB104"/>
    <mergeCell ref="BA105:BB106"/>
    <mergeCell ref="BC105:BE106"/>
    <mergeCell ref="BF105:BH106"/>
    <mergeCell ref="BI105:BK106"/>
    <mergeCell ref="BN105:BP106"/>
    <mergeCell ref="AZ126:CG126"/>
    <mergeCell ref="BA127:BM127"/>
    <mergeCell ref="BA130:BB130"/>
    <mergeCell ref="BA131:BB132"/>
    <mergeCell ref="BC131:BE132"/>
    <mergeCell ref="BF131:BH132"/>
    <mergeCell ref="BI131:BK132"/>
    <mergeCell ref="BN131:BP132"/>
    <mergeCell ref="BA111:BB112"/>
    <mergeCell ref="BA113:BB114"/>
    <mergeCell ref="BA116:BB117"/>
    <mergeCell ref="BA118:BB119"/>
    <mergeCell ref="BA121:BB122"/>
    <mergeCell ref="BA123:BB124"/>
    <mergeCell ref="AZ152:CG152"/>
    <mergeCell ref="BA137:BB138"/>
    <mergeCell ref="BA139:BB140"/>
    <mergeCell ref="BA142:BB143"/>
    <mergeCell ref="BA144:BB145"/>
    <mergeCell ref="BA147:BB148"/>
    <mergeCell ref="BA149:BB150"/>
    <mergeCell ref="BA133:BB134"/>
    <mergeCell ref="BC133:BE134"/>
    <mergeCell ref="BF133:BH134"/>
    <mergeCell ref="BI133:BK134"/>
    <mergeCell ref="BN133:BP134"/>
    <mergeCell ref="BB135:BK135"/>
    <mergeCell ref="BL135:BP135"/>
  </mergeCells>
  <printOptions horizontalCentered="1" verticalCentered="1"/>
  <pageMargins left="0.19685039370078741" right="0.19685039370078741" top="0" bottom="0" header="0.15748031496062992" footer="0.15748031496062992"/>
  <pageSetup paperSize="9" scale="68" orientation="portrait" horizontalDpi="150" verticalDpi="15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sheetPr codeName="Folha3">
    <pageSetUpPr fitToPage="1"/>
  </sheetPr>
  <dimension ref="B2:AG14"/>
  <sheetViews>
    <sheetView workbookViewId="0">
      <selection activeCell="C4" sqref="C4"/>
    </sheetView>
  </sheetViews>
  <sheetFormatPr defaultRowHeight="15"/>
  <cols>
    <col min="1" max="1" width="4.85546875" style="250" customWidth="1"/>
    <col min="2" max="2" width="9.140625" style="250"/>
    <col min="3" max="3" width="41.140625" style="250" customWidth="1"/>
    <col min="4" max="17" width="8.28515625" style="250" customWidth="1"/>
    <col min="18" max="32" width="8.28515625" style="250" hidden="1" customWidth="1"/>
    <col min="33" max="33" width="8.28515625" style="250" customWidth="1"/>
    <col min="34" max="16384" width="9.140625" style="250"/>
  </cols>
  <sheetData>
    <row r="2" spans="2:33" ht="49.5" customHeight="1" thickBot="1">
      <c r="B2" s="491" t="s">
        <v>255</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row>
    <row r="3" spans="2:33" ht="44.25" customHeight="1">
      <c r="B3" s="489" t="s">
        <v>256</v>
      </c>
      <c r="C3" s="251"/>
      <c r="D3" s="298"/>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99"/>
      <c r="AE3" s="299"/>
      <c r="AF3" s="299"/>
      <c r="AG3" s="300"/>
    </row>
    <row r="4" spans="2:33" ht="44.25" customHeight="1" thickBot="1">
      <c r="B4" s="490"/>
      <c r="C4" s="252"/>
      <c r="D4" s="301"/>
      <c r="E4" s="302"/>
      <c r="F4" s="302"/>
      <c r="G4" s="302"/>
      <c r="H4" s="302"/>
      <c r="I4" s="302"/>
      <c r="J4" s="302"/>
      <c r="K4" s="302"/>
      <c r="L4" s="302"/>
      <c r="M4" s="302"/>
      <c r="N4" s="302"/>
      <c r="O4" s="302"/>
      <c r="P4" s="302"/>
      <c r="Q4" s="302"/>
      <c r="R4" s="302"/>
      <c r="S4" s="302"/>
      <c r="T4" s="302"/>
      <c r="U4" s="302"/>
      <c r="V4" s="302"/>
      <c r="W4" s="302"/>
      <c r="X4" s="302"/>
      <c r="Y4" s="302"/>
      <c r="Z4" s="302"/>
      <c r="AA4" s="302"/>
      <c r="AB4" s="302"/>
      <c r="AC4" s="302"/>
      <c r="AD4" s="302"/>
      <c r="AE4" s="302"/>
      <c r="AF4" s="302"/>
      <c r="AG4" s="303"/>
    </row>
    <row r="5" spans="2:33" ht="44.25" customHeight="1">
      <c r="B5" s="489" t="s">
        <v>257</v>
      </c>
      <c r="C5" s="251"/>
      <c r="D5" s="298"/>
      <c r="E5" s="299"/>
      <c r="F5" s="299"/>
      <c r="G5" s="299"/>
      <c r="H5" s="299"/>
      <c r="I5" s="299"/>
      <c r="J5" s="299"/>
      <c r="K5" s="299"/>
      <c r="L5" s="299"/>
      <c r="M5" s="299"/>
      <c r="N5" s="299"/>
      <c r="O5" s="299"/>
      <c r="P5" s="299"/>
      <c r="Q5" s="299"/>
      <c r="R5" s="299"/>
      <c r="S5" s="299"/>
      <c r="T5" s="299"/>
      <c r="U5" s="299"/>
      <c r="V5" s="299"/>
      <c r="W5" s="299"/>
      <c r="X5" s="299"/>
      <c r="Y5" s="299"/>
      <c r="Z5" s="299"/>
      <c r="AA5" s="299"/>
      <c r="AB5" s="299"/>
      <c r="AC5" s="299"/>
      <c r="AD5" s="299"/>
      <c r="AE5" s="299"/>
      <c r="AF5" s="299"/>
      <c r="AG5" s="300"/>
    </row>
    <row r="6" spans="2:33" ht="44.25" customHeight="1" thickBot="1">
      <c r="B6" s="490"/>
      <c r="C6" s="253"/>
      <c r="D6" s="304"/>
      <c r="E6" s="305"/>
      <c r="F6" s="305"/>
      <c r="G6" s="305"/>
      <c r="H6" s="305"/>
      <c r="I6" s="305"/>
      <c r="J6" s="305"/>
      <c r="K6" s="305"/>
      <c r="L6" s="305"/>
      <c r="M6" s="305"/>
      <c r="N6" s="305"/>
      <c r="O6" s="305"/>
      <c r="P6" s="305"/>
      <c r="Q6" s="305"/>
      <c r="R6" s="305"/>
      <c r="S6" s="305"/>
      <c r="T6" s="305"/>
      <c r="U6" s="305"/>
      <c r="V6" s="305"/>
      <c r="W6" s="305"/>
      <c r="X6" s="305"/>
      <c r="Y6" s="305"/>
      <c r="Z6" s="305"/>
      <c r="AA6" s="305"/>
      <c r="AB6" s="305"/>
      <c r="AC6" s="305"/>
      <c r="AD6" s="305"/>
      <c r="AE6" s="305"/>
      <c r="AF6" s="305"/>
      <c r="AG6" s="306"/>
    </row>
    <row r="7" spans="2:33" ht="44.25" customHeight="1">
      <c r="B7" s="489" t="s">
        <v>258</v>
      </c>
      <c r="C7" s="251"/>
      <c r="D7" s="298"/>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300"/>
    </row>
    <row r="8" spans="2:33" ht="44.25" customHeight="1" thickBot="1">
      <c r="B8" s="490"/>
      <c r="C8" s="253"/>
      <c r="D8" s="304"/>
      <c r="E8" s="305"/>
      <c r="F8" s="305"/>
      <c r="G8" s="305"/>
      <c r="H8" s="305"/>
      <c r="I8" s="305"/>
      <c r="J8" s="305"/>
      <c r="K8" s="305"/>
      <c r="L8" s="305"/>
      <c r="M8" s="305"/>
      <c r="N8" s="305"/>
      <c r="O8" s="305"/>
      <c r="P8" s="305"/>
      <c r="Q8" s="305"/>
      <c r="R8" s="305"/>
      <c r="S8" s="305"/>
      <c r="T8" s="305"/>
      <c r="U8" s="305"/>
      <c r="V8" s="305"/>
      <c r="W8" s="305"/>
      <c r="X8" s="305"/>
      <c r="Y8" s="305"/>
      <c r="Z8" s="305"/>
      <c r="AA8" s="305"/>
      <c r="AB8" s="305"/>
      <c r="AC8" s="305"/>
      <c r="AD8" s="305"/>
      <c r="AE8" s="305"/>
      <c r="AF8" s="305"/>
      <c r="AG8" s="306"/>
    </row>
    <row r="9" spans="2:33" ht="44.25" customHeight="1">
      <c r="B9" s="489" t="s">
        <v>259</v>
      </c>
      <c r="C9" s="251"/>
      <c r="D9" s="298"/>
      <c r="E9" s="299"/>
      <c r="F9" s="299"/>
      <c r="G9" s="299"/>
      <c r="H9" s="299"/>
      <c r="I9" s="299"/>
      <c r="J9" s="299"/>
      <c r="K9" s="299"/>
      <c r="L9" s="299"/>
      <c r="M9" s="299"/>
      <c r="N9" s="299"/>
      <c r="O9" s="299"/>
      <c r="P9" s="299"/>
      <c r="Q9" s="299"/>
      <c r="R9" s="299"/>
      <c r="S9" s="299"/>
      <c r="T9" s="299"/>
      <c r="U9" s="299"/>
      <c r="V9" s="299"/>
      <c r="W9" s="299"/>
      <c r="X9" s="299"/>
      <c r="Y9" s="299"/>
      <c r="Z9" s="299"/>
      <c r="AA9" s="299"/>
      <c r="AB9" s="299"/>
      <c r="AC9" s="299"/>
      <c r="AD9" s="299"/>
      <c r="AE9" s="299"/>
      <c r="AF9" s="299"/>
      <c r="AG9" s="300"/>
    </row>
    <row r="10" spans="2:33" ht="44.25" customHeight="1" thickBot="1">
      <c r="B10" s="490"/>
      <c r="C10" s="253"/>
      <c r="D10" s="304"/>
      <c r="E10" s="305"/>
      <c r="F10" s="305"/>
      <c r="G10" s="305"/>
      <c r="H10" s="305"/>
      <c r="I10" s="305"/>
      <c r="J10" s="305"/>
      <c r="K10" s="305"/>
      <c r="L10" s="305"/>
      <c r="M10" s="305"/>
      <c r="N10" s="305"/>
      <c r="O10" s="305"/>
      <c r="P10" s="305"/>
      <c r="Q10" s="305"/>
      <c r="R10" s="305"/>
      <c r="S10" s="305"/>
      <c r="T10" s="305"/>
      <c r="U10" s="305"/>
      <c r="V10" s="305"/>
      <c r="W10" s="305"/>
      <c r="X10" s="305"/>
      <c r="Y10" s="305"/>
      <c r="Z10" s="305"/>
      <c r="AA10" s="305"/>
      <c r="AB10" s="305"/>
      <c r="AC10" s="305"/>
      <c r="AD10" s="305"/>
      <c r="AE10" s="305"/>
      <c r="AF10" s="305"/>
      <c r="AG10" s="306"/>
    </row>
    <row r="11" spans="2:33" ht="44.25" customHeight="1">
      <c r="B11" s="489"/>
      <c r="C11" s="251"/>
      <c r="D11" s="298"/>
      <c r="E11" s="299"/>
      <c r="F11" s="299"/>
      <c r="G11" s="299"/>
      <c r="H11" s="299"/>
      <c r="I11" s="299"/>
      <c r="J11" s="299"/>
      <c r="K11" s="299"/>
      <c r="L11" s="299"/>
      <c r="M11" s="299"/>
      <c r="N11" s="299"/>
      <c r="O11" s="299"/>
      <c r="P11" s="299"/>
      <c r="Q11" s="299"/>
      <c r="R11" s="299"/>
      <c r="S11" s="299"/>
      <c r="T11" s="299"/>
      <c r="U11" s="299"/>
      <c r="V11" s="299"/>
      <c r="W11" s="299"/>
      <c r="X11" s="299"/>
      <c r="Y11" s="299"/>
      <c r="Z11" s="299"/>
      <c r="AA11" s="299"/>
      <c r="AB11" s="299"/>
      <c r="AC11" s="299"/>
      <c r="AD11" s="299"/>
      <c r="AE11" s="299"/>
      <c r="AF11" s="299"/>
      <c r="AG11" s="300"/>
    </row>
    <row r="12" spans="2:33" ht="44.25" customHeight="1" thickBot="1">
      <c r="B12" s="490"/>
      <c r="C12" s="253"/>
      <c r="D12" s="304"/>
      <c r="E12" s="305"/>
      <c r="F12" s="305"/>
      <c r="G12" s="305"/>
      <c r="H12" s="305"/>
      <c r="I12" s="305"/>
      <c r="J12" s="305"/>
      <c r="K12" s="305"/>
      <c r="L12" s="305"/>
      <c r="M12" s="305"/>
      <c r="N12" s="305"/>
      <c r="O12" s="305"/>
      <c r="P12" s="305"/>
      <c r="Q12" s="305"/>
      <c r="R12" s="305"/>
      <c r="S12" s="305"/>
      <c r="T12" s="305"/>
      <c r="U12" s="305"/>
      <c r="V12" s="305"/>
      <c r="W12" s="305"/>
      <c r="X12" s="305"/>
      <c r="Y12" s="305"/>
      <c r="Z12" s="305"/>
      <c r="AA12" s="305"/>
      <c r="AB12" s="305"/>
      <c r="AC12" s="305"/>
      <c r="AD12" s="305"/>
      <c r="AE12" s="305"/>
      <c r="AF12" s="305"/>
      <c r="AG12" s="306"/>
    </row>
    <row r="13" spans="2:33" ht="44.25" customHeight="1">
      <c r="B13" s="489" t="s">
        <v>260</v>
      </c>
      <c r="C13" s="254"/>
      <c r="D13" s="307"/>
      <c r="E13" s="308"/>
      <c r="F13" s="308"/>
      <c r="G13" s="308"/>
      <c r="H13" s="308"/>
      <c r="I13" s="308"/>
      <c r="J13" s="308"/>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9"/>
    </row>
    <row r="14" spans="2:33" ht="44.25" customHeight="1" thickBot="1">
      <c r="B14" s="490"/>
      <c r="C14" s="253"/>
      <c r="D14" s="304"/>
      <c r="E14" s="305"/>
      <c r="F14" s="305"/>
      <c r="G14" s="305"/>
      <c r="H14" s="305"/>
      <c r="I14" s="305"/>
      <c r="J14" s="305"/>
      <c r="K14" s="305"/>
      <c r="L14" s="305"/>
      <c r="M14" s="305"/>
      <c r="N14" s="305"/>
      <c r="O14" s="305"/>
      <c r="P14" s="305"/>
      <c r="Q14" s="305"/>
      <c r="R14" s="305"/>
      <c r="S14" s="305"/>
      <c r="T14" s="305"/>
      <c r="U14" s="305"/>
      <c r="V14" s="305"/>
      <c r="W14" s="305"/>
      <c r="X14" s="305"/>
      <c r="Y14" s="305"/>
      <c r="Z14" s="305"/>
      <c r="AA14" s="305"/>
      <c r="AB14" s="305"/>
      <c r="AC14" s="305"/>
      <c r="AD14" s="305"/>
      <c r="AE14" s="305"/>
      <c r="AF14" s="305"/>
      <c r="AG14" s="306"/>
    </row>
  </sheetData>
  <mergeCells count="7">
    <mergeCell ref="B13:B14"/>
    <mergeCell ref="B2:AG2"/>
    <mergeCell ref="B3:B4"/>
    <mergeCell ref="B5:B6"/>
    <mergeCell ref="B7:B8"/>
    <mergeCell ref="B9:B10"/>
    <mergeCell ref="B11:B12"/>
  </mergeCells>
  <printOptions horizontalCentered="1" verticalCentered="1"/>
  <pageMargins left="0.19685039370078741" right="0.70866141732283472" top="0.74803149606299213" bottom="0.74803149606299213" header="0.31496062992125984" footer="0.31496062992125984"/>
  <pageSetup paperSize="9" scale="78" orientation="landscape" horizontalDpi="4294967293" verticalDpi="4294967293" r:id="rId1"/>
</worksheet>
</file>

<file path=xl/worksheets/sheet8.xml><?xml version="1.0" encoding="utf-8"?>
<worksheet xmlns="http://schemas.openxmlformats.org/spreadsheetml/2006/main" xmlns:r="http://schemas.openxmlformats.org/officeDocument/2006/relationships">
  <sheetPr codeName="Folha4">
    <pageSetUpPr fitToPage="1"/>
  </sheetPr>
  <dimension ref="A1:F20"/>
  <sheetViews>
    <sheetView zoomScale="80" zoomScaleNormal="80" workbookViewId="0">
      <selection activeCell="C11" sqref="C11"/>
    </sheetView>
  </sheetViews>
  <sheetFormatPr defaultRowHeight="15"/>
  <cols>
    <col min="1" max="1" width="6" customWidth="1"/>
    <col min="2" max="3" width="35.140625" customWidth="1"/>
    <col min="4" max="6" width="48.85546875" customWidth="1"/>
    <col min="7" max="7" width="9.140625" customWidth="1"/>
  </cols>
  <sheetData>
    <row r="1" spans="1:6" ht="15.75" thickBot="1"/>
    <row r="2" spans="1:6">
      <c r="A2" s="185" t="s">
        <v>17</v>
      </c>
      <c r="B2" s="492" t="str">
        <f>CONCATENATE("Classificação Final - ",'Sing Masc'!C2,"  - ",'Sing Masc'!C3," - Badminton")</f>
        <v>Classificação Final - Campeonato Distrital Iniciados  - Sertã - 20,21  Agosto 2018 - Badminton</v>
      </c>
      <c r="C2" s="493"/>
      <c r="D2" s="493"/>
      <c r="E2" s="493"/>
      <c r="F2" s="494"/>
    </row>
    <row r="3" spans="1:6" ht="39.75" customHeight="1" thickBot="1">
      <c r="B3" s="495"/>
      <c r="C3" s="496"/>
      <c r="D3" s="496"/>
      <c r="E3" s="496"/>
      <c r="F3" s="497"/>
    </row>
    <row r="4" spans="1:6" ht="34.5" customHeight="1" thickBot="1">
      <c r="B4" s="235" t="s">
        <v>222</v>
      </c>
      <c r="C4" s="235" t="s">
        <v>61</v>
      </c>
      <c r="D4" s="235" t="s">
        <v>221</v>
      </c>
      <c r="E4" s="235" t="s">
        <v>62</v>
      </c>
      <c r="F4" s="235" t="s">
        <v>63</v>
      </c>
    </row>
    <row r="5" spans="1:6" ht="24.75" customHeight="1">
      <c r="A5" s="236" t="s">
        <v>1</v>
      </c>
      <c r="B5" s="227" t="str">
        <f>'Sing Masc'!Y31</f>
        <v/>
      </c>
      <c r="C5" s="227" t="str">
        <f>'Sing Fem'!Y31</f>
        <v/>
      </c>
      <c r="D5" s="227" t="str">
        <f>'Par Masc'!Y31</f>
        <v/>
      </c>
      <c r="E5" s="227" t="str">
        <f>'Par Fem'!Y31</f>
        <v/>
      </c>
      <c r="F5" s="227" t="str">
        <f>'Par Misto'!Y31</f>
        <v/>
      </c>
    </row>
    <row r="6" spans="1:6" ht="24.75" customHeight="1">
      <c r="A6" s="236" t="s">
        <v>2</v>
      </c>
      <c r="B6" s="227" t="str">
        <f>'Sing Masc'!Y32</f>
        <v/>
      </c>
      <c r="C6" s="228" t="str">
        <f>'Sing Fem'!Y32</f>
        <v/>
      </c>
      <c r="D6" s="228" t="str">
        <f>'Par Masc'!Y32</f>
        <v/>
      </c>
      <c r="E6" s="228" t="str">
        <f>'Par Fem'!Y32</f>
        <v/>
      </c>
      <c r="F6" s="228" t="str">
        <f>'Par Misto'!Y32</f>
        <v/>
      </c>
    </row>
    <row r="7" spans="1:6" ht="24.75" customHeight="1" thickBot="1">
      <c r="A7" s="237" t="s">
        <v>3</v>
      </c>
      <c r="B7" s="227" t="str">
        <f>'Sing Masc'!Y33</f>
        <v/>
      </c>
      <c r="C7" s="229" t="str">
        <f>'Sing Fem'!Y33</f>
        <v/>
      </c>
      <c r="D7" s="229" t="str">
        <f>'Par Masc'!Y33</f>
        <v/>
      </c>
      <c r="E7" s="229" t="str">
        <f>'Par Fem'!Y33</f>
        <v/>
      </c>
      <c r="F7" s="229" t="str">
        <f>'Par Misto'!Y33</f>
        <v/>
      </c>
    </row>
    <row r="8" spans="1:6" ht="24.75" customHeight="1" thickTop="1">
      <c r="A8" s="238" t="s">
        <v>4</v>
      </c>
      <c r="B8" s="227" t="str">
        <f>'Sing Masc'!Y34</f>
        <v/>
      </c>
      <c r="C8" s="230" t="str">
        <f>'Sing Fem'!Y34</f>
        <v/>
      </c>
      <c r="D8" s="230" t="str">
        <f>'Par Masc'!Y34</f>
        <v/>
      </c>
      <c r="E8" s="230" t="str">
        <f>'Par Fem'!Y34</f>
        <v/>
      </c>
      <c r="F8" s="230" t="str">
        <f>'Par Misto'!Y34</f>
        <v/>
      </c>
    </row>
    <row r="9" spans="1:6" ht="24.75" customHeight="1">
      <c r="A9" s="238" t="s">
        <v>36</v>
      </c>
      <c r="B9" s="227" t="str">
        <f>'Sing Masc'!Y50</f>
        <v/>
      </c>
      <c r="C9" s="231" t="str">
        <f>'Sing Fem'!Y50</f>
        <v/>
      </c>
      <c r="D9" s="231" t="str">
        <f>'Par Masc'!Y50</f>
        <v/>
      </c>
      <c r="E9" s="231" t="str">
        <f>'Par Fem'!Y50</f>
        <v/>
      </c>
      <c r="F9" s="231" t="str">
        <f>'Par Misto'!Y50</f>
        <v/>
      </c>
    </row>
    <row r="10" spans="1:6" ht="24.75" customHeight="1">
      <c r="A10" s="238" t="s">
        <v>37</v>
      </c>
      <c r="B10" s="227" t="str">
        <f>'Sing Masc'!Y51</f>
        <v/>
      </c>
      <c r="C10" s="231" t="str">
        <f>'Sing Fem'!Y51</f>
        <v/>
      </c>
      <c r="D10" s="231" t="str">
        <f>'Par Masc'!Y51</f>
        <v/>
      </c>
      <c r="E10" s="231" t="str">
        <f>'Par Fem'!Y51</f>
        <v/>
      </c>
      <c r="F10" s="231" t="str">
        <f>'Par Misto'!Y51</f>
        <v/>
      </c>
    </row>
    <row r="11" spans="1:6" ht="24.75" customHeight="1">
      <c r="A11" s="238" t="s">
        <v>38</v>
      </c>
      <c r="B11" s="227" t="str">
        <f>'Sing Masc'!Y52</f>
        <v/>
      </c>
      <c r="C11" s="231" t="str">
        <f>'Sing Fem'!Y52</f>
        <v/>
      </c>
      <c r="D11" s="231" t="str">
        <f>'Par Masc'!Y52</f>
        <v/>
      </c>
      <c r="E11" s="231" t="str">
        <f>'Par Fem'!Y52</f>
        <v/>
      </c>
      <c r="F11" s="231" t="str">
        <f>'Par Misto'!Y52</f>
        <v/>
      </c>
    </row>
    <row r="12" spans="1:6" ht="24.75" customHeight="1">
      <c r="A12" s="238" t="s">
        <v>39</v>
      </c>
      <c r="B12" s="227" t="str">
        <f>'Sing Masc'!Y53</f>
        <v/>
      </c>
      <c r="C12" s="231" t="str">
        <f>'Sing Fem'!Y53</f>
        <v/>
      </c>
      <c r="D12" s="231" t="str">
        <f>'Par Masc'!Y53</f>
        <v/>
      </c>
      <c r="E12" s="231" t="str">
        <f>'Par Fem'!Y53</f>
        <v/>
      </c>
      <c r="F12" s="231" t="str">
        <f>'Par Misto'!Y53</f>
        <v/>
      </c>
    </row>
    <row r="13" spans="1:6" ht="24.75" customHeight="1">
      <c r="A13" s="238" t="s">
        <v>56</v>
      </c>
      <c r="B13" s="227" t="str">
        <f>'Sing Masc'!Y68</f>
        <v/>
      </c>
      <c r="C13" s="231" t="str">
        <f>'Sing Fem'!Y68</f>
        <v/>
      </c>
      <c r="D13" s="231" t="str">
        <f>'Par Masc'!Y68</f>
        <v/>
      </c>
      <c r="E13" s="231" t="str">
        <f>'Par Fem'!Y68</f>
        <v/>
      </c>
      <c r="F13" s="231" t="str">
        <f>'Par Misto'!Y68</f>
        <v/>
      </c>
    </row>
    <row r="14" spans="1:6" ht="24.75" customHeight="1">
      <c r="A14" s="238" t="s">
        <v>57</v>
      </c>
      <c r="B14" s="227" t="str">
        <f>'Sing Masc'!Y69</f>
        <v/>
      </c>
      <c r="C14" s="231" t="str">
        <f>'Sing Fem'!Y69</f>
        <v/>
      </c>
      <c r="D14" s="231" t="str">
        <f>'Par Masc'!Y69</f>
        <v/>
      </c>
      <c r="E14" s="231" t="str">
        <f>'Par Fem'!Y69</f>
        <v/>
      </c>
      <c r="F14" s="231" t="str">
        <f>'Par Misto'!Y69</f>
        <v/>
      </c>
    </row>
    <row r="15" spans="1:6" ht="24.75" customHeight="1">
      <c r="A15" s="238" t="s">
        <v>58</v>
      </c>
      <c r="B15" s="227" t="str">
        <f>'Sing Masc'!Y70</f>
        <v/>
      </c>
      <c r="C15" s="231" t="str">
        <f>'Sing Fem'!Y70</f>
        <v/>
      </c>
      <c r="D15" s="232" t="str">
        <f>'Par Masc'!Y70</f>
        <v/>
      </c>
      <c r="E15" s="231" t="str">
        <f>'Par Fem'!Y70</f>
        <v/>
      </c>
      <c r="F15" s="231" t="str">
        <f>'Par Misto'!Y70</f>
        <v/>
      </c>
    </row>
    <row r="16" spans="1:6" ht="24.75" customHeight="1">
      <c r="A16" s="238" t="s">
        <v>59</v>
      </c>
      <c r="B16" s="227" t="str">
        <f>'Sing Masc'!Y71</f>
        <v/>
      </c>
      <c r="C16" s="242" t="str">
        <f>'Sing Fem'!Y71</f>
        <v/>
      </c>
      <c r="D16" s="241" t="str">
        <f>'Par Masc'!Y71</f>
        <v/>
      </c>
      <c r="E16" s="242" t="str">
        <f>'Par Fem'!Y71</f>
        <v/>
      </c>
      <c r="F16" s="241" t="str">
        <f>'Par Misto'!Y71</f>
        <v/>
      </c>
    </row>
    <row r="17" spans="1:6" s="239" customFormat="1" ht="24.75" customHeight="1">
      <c r="A17" s="238" t="s">
        <v>242</v>
      </c>
      <c r="B17" s="227" t="str">
        <f>'Sing Masc'!Y86</f>
        <v/>
      </c>
      <c r="C17" s="231" t="str">
        <f>'Sing Fem'!Y86</f>
        <v/>
      </c>
      <c r="D17" s="231" t="str">
        <f>'Par Masc'!Y86</f>
        <v/>
      </c>
      <c r="E17" s="231" t="str">
        <f>'Par Fem'!Y86</f>
        <v/>
      </c>
      <c r="F17" s="231" t="str">
        <f>'Par Misto'!Y86</f>
        <v/>
      </c>
    </row>
    <row r="18" spans="1:6" s="239" customFormat="1" ht="24.75" customHeight="1">
      <c r="A18" s="238" t="s">
        <v>243</v>
      </c>
      <c r="B18" s="227" t="str">
        <f>'Sing Masc'!Y87</f>
        <v/>
      </c>
      <c r="C18" s="231" t="str">
        <f>'Sing Fem'!Y87</f>
        <v/>
      </c>
      <c r="D18" s="231" t="str">
        <f>'Par Masc'!Y87</f>
        <v/>
      </c>
      <c r="E18" s="231" t="str">
        <f>'Par Fem'!Y87</f>
        <v/>
      </c>
      <c r="F18" s="231" t="str">
        <f>'Par Misto'!Y87</f>
        <v/>
      </c>
    </row>
    <row r="19" spans="1:6" s="239" customFormat="1" ht="24.75" customHeight="1">
      <c r="A19" s="238" t="s">
        <v>244</v>
      </c>
      <c r="B19" s="227" t="str">
        <f>'Sing Masc'!Y88</f>
        <v/>
      </c>
      <c r="C19" s="231" t="str">
        <f>'Sing Fem'!Y88</f>
        <v/>
      </c>
      <c r="D19" s="232" t="str">
        <f>'Par Masc'!Y88</f>
        <v/>
      </c>
      <c r="E19" s="231" t="str">
        <f>'Par Fem'!Y88</f>
        <v/>
      </c>
      <c r="F19" s="231" t="str">
        <f>'Par Misto'!Y88</f>
        <v/>
      </c>
    </row>
    <row r="20" spans="1:6" s="239" customFormat="1" ht="24.75" customHeight="1" thickBot="1">
      <c r="A20" s="238" t="s">
        <v>245</v>
      </c>
      <c r="B20" s="227" t="str">
        <f>'Sing Masc'!Y89</f>
        <v/>
      </c>
      <c r="C20" s="234" t="str">
        <f>'Sing Fem'!Y89</f>
        <v/>
      </c>
      <c r="D20" s="233" t="str">
        <f>'Par Masc'!Y89</f>
        <v/>
      </c>
      <c r="E20" s="234" t="str">
        <f>'Par Fem'!Y89</f>
        <v/>
      </c>
      <c r="F20" s="233" t="str">
        <f>'Par Misto'!Y89</f>
        <v/>
      </c>
    </row>
  </sheetData>
  <sheetProtection sheet="1" objects="1" scenarios="1"/>
  <mergeCells count="1">
    <mergeCell ref="B2:F3"/>
  </mergeCells>
  <printOptions horizontalCentered="1" verticalCentered="1"/>
  <pageMargins left="0.70866141732283472" right="0.70866141732283472" top="0.74803149606299213" bottom="0.74803149606299213" header="0.31496062992125984" footer="0.31496062992125984"/>
  <pageSetup paperSize="9" scale="72" orientation="landscape" r:id="rId1"/>
</worksheet>
</file>

<file path=xl/worksheets/sheet9.xml><?xml version="1.0" encoding="utf-8"?>
<worksheet xmlns="http://schemas.openxmlformats.org/spreadsheetml/2006/main" xmlns:r="http://schemas.openxmlformats.org/officeDocument/2006/relationships">
  <sheetPr codeName="Folha5">
    <pageSetUpPr fitToPage="1"/>
  </sheetPr>
  <dimension ref="A1:K28"/>
  <sheetViews>
    <sheetView zoomScale="110" zoomScaleNormal="110" workbookViewId="0">
      <pane xSplit="2" ySplit="2" topLeftCell="C3" activePane="bottomRight" state="frozen"/>
      <selection pane="topRight" activeCell="C1" sqref="C1"/>
      <selection pane="bottomLeft" activeCell="A3" sqref="A3"/>
      <selection pane="bottomRight" activeCell="C10" sqref="C10:J10"/>
    </sheetView>
  </sheetViews>
  <sheetFormatPr defaultRowHeight="15"/>
  <cols>
    <col min="1" max="1" width="5.7109375" style="250" customWidth="1"/>
    <col min="2" max="2" width="6" style="250" customWidth="1"/>
    <col min="3" max="10" width="14" style="250" customWidth="1"/>
    <col min="11" max="11" width="23.7109375" style="250" customWidth="1"/>
    <col min="12" max="16384" width="9.140625" style="250"/>
  </cols>
  <sheetData>
    <row r="1" spans="1:11" ht="35.25" customHeight="1" thickBot="1">
      <c r="C1" s="501" t="s">
        <v>263</v>
      </c>
      <c r="D1" s="501"/>
      <c r="E1" s="501"/>
      <c r="F1" s="501"/>
      <c r="G1" s="501"/>
      <c r="H1" s="501"/>
      <c r="I1" s="501"/>
      <c r="J1" s="501"/>
    </row>
    <row r="2" spans="1:11" ht="25.5" customHeight="1" thickBot="1">
      <c r="B2" s="191"/>
      <c r="C2" s="192" t="s">
        <v>225</v>
      </c>
      <c r="D2" s="195" t="s">
        <v>65</v>
      </c>
      <c r="E2" s="195" t="s">
        <v>66</v>
      </c>
      <c r="F2" s="195" t="s">
        <v>67</v>
      </c>
      <c r="G2" s="195" t="s">
        <v>68</v>
      </c>
      <c r="H2" s="195" t="s">
        <v>69</v>
      </c>
      <c r="I2" s="196" t="s">
        <v>70</v>
      </c>
      <c r="J2" s="196" t="s">
        <v>224</v>
      </c>
      <c r="K2" s="196" t="s">
        <v>264</v>
      </c>
    </row>
    <row r="3" spans="1:11" ht="18" customHeight="1">
      <c r="A3" s="498" t="s">
        <v>265</v>
      </c>
      <c r="B3" s="188">
        <v>0.375</v>
      </c>
      <c r="C3" s="259" t="s">
        <v>266</v>
      </c>
      <c r="D3" s="259" t="s">
        <v>267</v>
      </c>
      <c r="E3" s="259" t="s">
        <v>268</v>
      </c>
      <c r="F3" s="259" t="s">
        <v>269</v>
      </c>
      <c r="G3" s="260" t="s">
        <v>270</v>
      </c>
      <c r="H3" s="261" t="s">
        <v>271</v>
      </c>
      <c r="I3" s="260" t="s">
        <v>272</v>
      </c>
      <c r="J3" s="262" t="s">
        <v>273</v>
      </c>
      <c r="K3" s="502" t="s">
        <v>274</v>
      </c>
    </row>
    <row r="4" spans="1:11" ht="18" customHeight="1">
      <c r="A4" s="498"/>
      <c r="B4" s="189">
        <v>0.39583333333333331</v>
      </c>
      <c r="C4" s="263" t="s">
        <v>275</v>
      </c>
      <c r="D4" s="264" t="s">
        <v>276</v>
      </c>
      <c r="E4" s="263" t="s">
        <v>277</v>
      </c>
      <c r="F4" s="264" t="s">
        <v>278</v>
      </c>
      <c r="G4" s="265" t="s">
        <v>279</v>
      </c>
      <c r="H4" s="265" t="s">
        <v>280</v>
      </c>
      <c r="I4" s="265" t="s">
        <v>281</v>
      </c>
      <c r="J4" s="266" t="s">
        <v>282</v>
      </c>
      <c r="K4" s="499"/>
    </row>
    <row r="5" spans="1:11" ht="18" customHeight="1">
      <c r="A5" s="498"/>
      <c r="B5" s="189">
        <v>0.41666666666666669</v>
      </c>
      <c r="C5" s="267" t="s">
        <v>283</v>
      </c>
      <c r="D5" s="267" t="s">
        <v>284</v>
      </c>
      <c r="E5" s="267" t="s">
        <v>285</v>
      </c>
      <c r="F5" s="268" t="s">
        <v>286</v>
      </c>
      <c r="G5" s="269"/>
      <c r="H5" s="269"/>
      <c r="I5" s="269"/>
      <c r="J5" s="270"/>
      <c r="K5" s="499"/>
    </row>
    <row r="6" spans="1:11" ht="18" customHeight="1">
      <c r="A6" s="498"/>
      <c r="B6" s="189">
        <v>0.4375</v>
      </c>
      <c r="C6" s="271" t="s">
        <v>287</v>
      </c>
      <c r="D6" s="271" t="s">
        <v>288</v>
      </c>
      <c r="E6" s="271" t="s">
        <v>289</v>
      </c>
      <c r="F6" s="271" t="s">
        <v>290</v>
      </c>
      <c r="G6" s="272" t="s">
        <v>291</v>
      </c>
      <c r="H6" s="272" t="s">
        <v>292</v>
      </c>
      <c r="I6" s="272" t="s">
        <v>293</v>
      </c>
      <c r="J6" s="273" t="s">
        <v>294</v>
      </c>
      <c r="K6" s="499"/>
    </row>
    <row r="7" spans="1:11" ht="18" customHeight="1">
      <c r="A7" s="498"/>
      <c r="B7" s="189">
        <v>0.45833333333333331</v>
      </c>
      <c r="C7" s="264" t="s">
        <v>295</v>
      </c>
      <c r="D7" s="264" t="s">
        <v>296</v>
      </c>
      <c r="E7" s="264" t="s">
        <v>297</v>
      </c>
      <c r="F7" s="264" t="s">
        <v>298</v>
      </c>
      <c r="G7" s="265" t="s">
        <v>299</v>
      </c>
      <c r="H7" s="265" t="s">
        <v>300</v>
      </c>
      <c r="I7" s="265" t="s">
        <v>301</v>
      </c>
      <c r="J7" s="274" t="s">
        <v>302</v>
      </c>
      <c r="K7" s="499"/>
    </row>
    <row r="8" spans="1:11" ht="18" customHeight="1">
      <c r="A8" s="498"/>
      <c r="B8" s="189">
        <v>0.47916666666666669</v>
      </c>
      <c r="C8" s="267" t="s">
        <v>303</v>
      </c>
      <c r="D8" s="267" t="s">
        <v>304</v>
      </c>
      <c r="E8" s="267" t="s">
        <v>305</v>
      </c>
      <c r="F8" s="267" t="s">
        <v>306</v>
      </c>
      <c r="G8" s="275"/>
      <c r="H8" s="275"/>
      <c r="I8" s="275"/>
      <c r="J8" s="276"/>
      <c r="K8" s="499"/>
    </row>
    <row r="9" spans="1:11" ht="18" customHeight="1">
      <c r="A9" s="498"/>
      <c r="B9" s="189">
        <v>0.5</v>
      </c>
      <c r="C9" s="271" t="s">
        <v>307</v>
      </c>
      <c r="D9" s="271" t="s">
        <v>308</v>
      </c>
      <c r="E9" s="271" t="s">
        <v>309</v>
      </c>
      <c r="F9" s="271" t="s">
        <v>310</v>
      </c>
      <c r="G9" s="272" t="s">
        <v>311</v>
      </c>
      <c r="H9" s="263" t="s">
        <v>312</v>
      </c>
      <c r="I9" s="272" t="s">
        <v>313</v>
      </c>
      <c r="J9" s="273" t="s">
        <v>314</v>
      </c>
      <c r="K9" s="499"/>
    </row>
    <row r="10" spans="1:11" ht="18" customHeight="1">
      <c r="A10" s="498"/>
      <c r="B10" s="189">
        <v>0.52083333333333337</v>
      </c>
      <c r="C10" s="499" t="s">
        <v>315</v>
      </c>
      <c r="D10" s="503"/>
      <c r="E10" s="503"/>
      <c r="F10" s="503"/>
      <c r="G10" s="503"/>
      <c r="H10" s="503"/>
      <c r="I10" s="503"/>
      <c r="J10" s="503"/>
      <c r="K10" s="499"/>
    </row>
    <row r="11" spans="1:11" ht="18" customHeight="1">
      <c r="A11" s="498" t="s">
        <v>316</v>
      </c>
      <c r="B11" s="189">
        <v>0.58333333333333337</v>
      </c>
      <c r="C11" s="263" t="s">
        <v>317</v>
      </c>
      <c r="D11" s="264" t="s">
        <v>318</v>
      </c>
      <c r="E11" s="263" t="s">
        <v>319</v>
      </c>
      <c r="F11" s="264" t="s">
        <v>320</v>
      </c>
      <c r="G11" s="265" t="s">
        <v>321</v>
      </c>
      <c r="H11" s="265" t="s">
        <v>322</v>
      </c>
      <c r="I11" s="265" t="s">
        <v>323</v>
      </c>
      <c r="J11" s="266" t="s">
        <v>324</v>
      </c>
      <c r="K11" s="499"/>
    </row>
    <row r="12" spans="1:11" ht="18" customHeight="1">
      <c r="A12" s="498"/>
      <c r="B12" s="189">
        <v>0.60416666666666663</v>
      </c>
      <c r="C12" s="267" t="s">
        <v>325</v>
      </c>
      <c r="D12" s="267" t="s">
        <v>326</v>
      </c>
      <c r="E12" s="267" t="s">
        <v>327</v>
      </c>
      <c r="F12" s="268" t="s">
        <v>328</v>
      </c>
      <c r="G12" s="275"/>
      <c r="H12" s="275"/>
      <c r="I12" s="275"/>
      <c r="J12" s="276"/>
      <c r="K12" s="499"/>
    </row>
    <row r="13" spans="1:11" ht="18" customHeight="1">
      <c r="A13" s="498"/>
      <c r="B13" s="189">
        <v>0.625</v>
      </c>
      <c r="C13" s="271" t="s">
        <v>329</v>
      </c>
      <c r="D13" s="271" t="s">
        <v>330</v>
      </c>
      <c r="E13" s="271" t="s">
        <v>331</v>
      </c>
      <c r="F13" s="271" t="s">
        <v>332</v>
      </c>
      <c r="G13" s="272" t="s">
        <v>333</v>
      </c>
      <c r="H13" s="272" t="s">
        <v>334</v>
      </c>
      <c r="I13" s="272" t="s">
        <v>335</v>
      </c>
      <c r="J13" s="273" t="s">
        <v>314</v>
      </c>
      <c r="K13" s="277" t="s">
        <v>336</v>
      </c>
    </row>
    <row r="14" spans="1:11" ht="18" customHeight="1">
      <c r="A14" s="498"/>
      <c r="B14" s="189">
        <v>0.64583333333333337</v>
      </c>
      <c r="C14" s="271" t="s">
        <v>337</v>
      </c>
      <c r="D14" s="271" t="s">
        <v>338</v>
      </c>
      <c r="E14" s="263" t="s">
        <v>339</v>
      </c>
      <c r="F14" s="272" t="s">
        <v>340</v>
      </c>
      <c r="G14" s="275"/>
      <c r="H14" s="275"/>
      <c r="I14" s="275"/>
      <c r="J14" s="276"/>
      <c r="K14" s="278" t="s">
        <v>341</v>
      </c>
    </row>
    <row r="15" spans="1:11" ht="18" customHeight="1">
      <c r="A15" s="498"/>
      <c r="B15" s="189">
        <v>0.66666666666666663</v>
      </c>
      <c r="C15" s="264" t="s">
        <v>342</v>
      </c>
      <c r="D15" s="264" t="s">
        <v>343</v>
      </c>
      <c r="E15" s="264" t="s">
        <v>344</v>
      </c>
      <c r="F15" s="264" t="s">
        <v>345</v>
      </c>
      <c r="G15" s="265" t="s">
        <v>346</v>
      </c>
      <c r="H15" s="265" t="s">
        <v>347</v>
      </c>
      <c r="I15" s="265" t="s">
        <v>348</v>
      </c>
      <c r="J15" s="274" t="s">
        <v>349</v>
      </c>
      <c r="K15" s="278" t="s">
        <v>336</v>
      </c>
    </row>
    <row r="16" spans="1:11" ht="18" customHeight="1">
      <c r="A16" s="498"/>
      <c r="B16" s="189">
        <v>0.6875</v>
      </c>
      <c r="C16" s="267" t="s">
        <v>350</v>
      </c>
      <c r="D16" s="267" t="s">
        <v>351</v>
      </c>
      <c r="E16" s="267" t="s">
        <v>352</v>
      </c>
      <c r="F16" s="267" t="s">
        <v>353</v>
      </c>
      <c r="G16" s="267" t="s">
        <v>354</v>
      </c>
      <c r="H16" s="268" t="s">
        <v>355</v>
      </c>
      <c r="I16" s="274" t="s">
        <v>356</v>
      </c>
      <c r="J16" s="276"/>
      <c r="K16" s="278" t="s">
        <v>357</v>
      </c>
    </row>
    <row r="17" spans="1:11" ht="18" customHeight="1">
      <c r="A17" s="498"/>
      <c r="B17" s="189">
        <v>0.70833333333333337</v>
      </c>
      <c r="C17" s="271" t="s">
        <v>358</v>
      </c>
      <c r="D17" s="271" t="s">
        <v>359</v>
      </c>
      <c r="E17" s="271" t="s">
        <v>360</v>
      </c>
      <c r="F17" s="272" t="s">
        <v>361</v>
      </c>
      <c r="G17" s="272" t="s">
        <v>362</v>
      </c>
      <c r="H17" s="263" t="s">
        <v>363</v>
      </c>
      <c r="I17" s="275"/>
      <c r="J17" s="276"/>
      <c r="K17" s="499" t="s">
        <v>364</v>
      </c>
    </row>
    <row r="18" spans="1:11" ht="18" customHeight="1">
      <c r="A18" s="498"/>
      <c r="B18" s="189">
        <v>0.72916666666666663</v>
      </c>
      <c r="C18" s="264" t="s">
        <v>365</v>
      </c>
      <c r="D18" s="264" t="s">
        <v>366</v>
      </c>
      <c r="E18" s="275"/>
      <c r="F18" s="265" t="s">
        <v>367</v>
      </c>
      <c r="G18" s="265" t="s">
        <v>368</v>
      </c>
      <c r="H18" s="275"/>
      <c r="I18" s="275"/>
      <c r="J18" s="276"/>
      <c r="K18" s="499"/>
    </row>
    <row r="19" spans="1:11" ht="18" customHeight="1">
      <c r="A19" s="498"/>
      <c r="B19" s="189">
        <v>0.75</v>
      </c>
      <c r="C19" s="267" t="s">
        <v>369</v>
      </c>
      <c r="D19" s="267" t="s">
        <v>370</v>
      </c>
      <c r="E19" s="275"/>
      <c r="F19" s="275"/>
      <c r="G19" s="275"/>
      <c r="H19" s="275"/>
      <c r="I19" s="275"/>
      <c r="J19" s="276"/>
      <c r="K19" s="499"/>
    </row>
    <row r="20" spans="1:11" ht="16.5" customHeight="1">
      <c r="B20" s="199"/>
      <c r="C20" s="200"/>
      <c r="D20" s="200"/>
      <c r="E20" s="200"/>
      <c r="F20" s="200"/>
      <c r="G20" s="200"/>
      <c r="H20" s="200"/>
      <c r="I20" s="200"/>
      <c r="J20" s="200"/>
      <c r="K20" s="279"/>
    </row>
    <row r="21" spans="1:11" ht="18" customHeight="1">
      <c r="A21" s="498" t="s">
        <v>371</v>
      </c>
      <c r="B21" s="189">
        <v>0.39583333333333331</v>
      </c>
      <c r="C21" s="271" t="s">
        <v>372</v>
      </c>
      <c r="D21" s="271" t="s">
        <v>373</v>
      </c>
      <c r="E21" s="271" t="s">
        <v>374</v>
      </c>
      <c r="F21" s="271" t="s">
        <v>375</v>
      </c>
      <c r="G21" s="272" t="s">
        <v>376</v>
      </c>
      <c r="H21" s="272" t="s">
        <v>377</v>
      </c>
      <c r="I21" s="272" t="s">
        <v>378</v>
      </c>
      <c r="J21" s="273" t="s">
        <v>379</v>
      </c>
      <c r="K21" s="499" t="s">
        <v>380</v>
      </c>
    </row>
    <row r="22" spans="1:11" ht="18" customHeight="1">
      <c r="A22" s="498"/>
      <c r="B22" s="189">
        <v>0.41666666666666669</v>
      </c>
      <c r="C22" s="264" t="s">
        <v>381</v>
      </c>
      <c r="D22" s="264" t="s">
        <v>382</v>
      </c>
      <c r="E22" s="264" t="s">
        <v>383</v>
      </c>
      <c r="F22" s="264" t="s">
        <v>384</v>
      </c>
      <c r="G22" s="265" t="s">
        <v>385</v>
      </c>
      <c r="H22" s="265" t="s">
        <v>386</v>
      </c>
      <c r="I22" s="265" t="s">
        <v>387</v>
      </c>
      <c r="J22" s="274" t="s">
        <v>388</v>
      </c>
      <c r="K22" s="499"/>
    </row>
    <row r="23" spans="1:11" ht="18" customHeight="1">
      <c r="A23" s="498"/>
      <c r="B23" s="189">
        <v>0.4375</v>
      </c>
      <c r="C23" s="267" t="s">
        <v>389</v>
      </c>
      <c r="D23" s="267" t="s">
        <v>390</v>
      </c>
      <c r="E23" s="267" t="s">
        <v>391</v>
      </c>
      <c r="F23" s="267" t="s">
        <v>392</v>
      </c>
      <c r="G23" s="275"/>
      <c r="H23" s="275"/>
      <c r="I23" s="276"/>
      <c r="J23" s="276"/>
      <c r="K23" s="499"/>
    </row>
    <row r="24" spans="1:11" ht="18" customHeight="1">
      <c r="A24" s="498"/>
      <c r="B24" s="189">
        <v>0.45833333333333331</v>
      </c>
      <c r="C24" s="271" t="s">
        <v>393</v>
      </c>
      <c r="D24" s="272" t="s">
        <v>394</v>
      </c>
      <c r="E24" s="264" t="s">
        <v>395</v>
      </c>
      <c r="F24" s="265" t="s">
        <v>396</v>
      </c>
      <c r="G24" s="267" t="s">
        <v>397</v>
      </c>
      <c r="H24" s="275"/>
      <c r="I24" s="276"/>
      <c r="J24" s="276"/>
      <c r="K24" s="278" t="s">
        <v>398</v>
      </c>
    </row>
    <row r="25" spans="1:11" ht="18" customHeight="1">
      <c r="B25" s="199"/>
      <c r="C25" s="200"/>
      <c r="D25" s="200"/>
      <c r="E25" s="200"/>
      <c r="F25" s="200"/>
      <c r="G25" s="200"/>
      <c r="H25" s="200"/>
      <c r="I25" s="200"/>
      <c r="J25" s="200"/>
      <c r="K25" s="279"/>
    </row>
    <row r="26" spans="1:11" ht="18" customHeight="1">
      <c r="A26" s="498" t="s">
        <v>399</v>
      </c>
      <c r="B26" s="189">
        <v>0.39583333333333331</v>
      </c>
      <c r="C26" s="271" t="s">
        <v>400</v>
      </c>
      <c r="D26" s="272" t="s">
        <v>401</v>
      </c>
      <c r="E26" s="264" t="s">
        <v>402</v>
      </c>
      <c r="F26" s="275"/>
      <c r="G26" s="275"/>
      <c r="H26" s="275"/>
      <c r="I26" s="265" t="s">
        <v>403</v>
      </c>
      <c r="J26" s="280" t="s">
        <v>404</v>
      </c>
      <c r="K26" s="278" t="s">
        <v>405</v>
      </c>
    </row>
    <row r="27" spans="1:11" ht="18" customHeight="1">
      <c r="A27" s="498"/>
      <c r="B27" s="189">
        <v>0.41666666666666669</v>
      </c>
      <c r="C27" s="275"/>
      <c r="D27" s="275"/>
      <c r="E27" s="275"/>
      <c r="F27" s="264" t="s">
        <v>406</v>
      </c>
      <c r="G27" s="265" t="s">
        <v>407</v>
      </c>
      <c r="H27" s="267" t="s">
        <v>408</v>
      </c>
      <c r="I27" s="276"/>
      <c r="J27" s="276"/>
      <c r="K27" s="499" t="s">
        <v>409</v>
      </c>
    </row>
    <row r="28" spans="1:11" ht="18" customHeight="1" thickBot="1">
      <c r="A28" s="498"/>
      <c r="B28" s="190"/>
      <c r="C28" s="281"/>
      <c r="D28" s="281"/>
      <c r="E28" s="281"/>
      <c r="F28" s="281"/>
      <c r="G28" s="282" t="s">
        <v>410</v>
      </c>
      <c r="H28" s="283" t="s">
        <v>411</v>
      </c>
      <c r="I28" s="284"/>
      <c r="J28" s="284"/>
      <c r="K28" s="500"/>
    </row>
  </sheetData>
  <mergeCells count="10">
    <mergeCell ref="A21:A24"/>
    <mergeCell ref="K21:K23"/>
    <mergeCell ref="A26:A28"/>
    <mergeCell ref="K27:K28"/>
    <mergeCell ref="C1:J1"/>
    <mergeCell ref="A3:A10"/>
    <mergeCell ref="K3:K12"/>
    <mergeCell ref="C10:J10"/>
    <mergeCell ref="A11:A19"/>
    <mergeCell ref="K17:K19"/>
  </mergeCells>
  <printOptions horizontalCentered="1" verticalCentered="1"/>
  <pageMargins left="0.70866141732283472" right="0.70866141732283472" top="0.74803149606299213" bottom="0.7480314960629921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11</vt:i4>
      </vt:variant>
      <vt:variant>
        <vt:lpstr>Intervalos com nome</vt:lpstr>
      </vt:variant>
      <vt:variant>
        <vt:i4>10</vt:i4>
      </vt:variant>
    </vt:vector>
  </HeadingPairs>
  <TitlesOfParts>
    <vt:vector size="21" baseType="lpstr">
      <vt:lpstr>Instruções</vt:lpstr>
      <vt:lpstr>Sing Masc</vt:lpstr>
      <vt:lpstr>Sing Fem</vt:lpstr>
      <vt:lpstr>Par Masc</vt:lpstr>
      <vt:lpstr>Par Fem</vt:lpstr>
      <vt:lpstr>Par Misto</vt:lpstr>
      <vt:lpstr>Árbitros</vt:lpstr>
      <vt:lpstr>Class Auto</vt:lpstr>
      <vt:lpstr>Calendário</vt:lpstr>
      <vt:lpstr>Class Manual</vt:lpstr>
      <vt:lpstr>Calend1</vt:lpstr>
      <vt:lpstr>Árbitros!Área_de_Impressão</vt:lpstr>
      <vt:lpstr>Calend1!Área_de_Impressão</vt:lpstr>
      <vt:lpstr>Calendário!Área_de_Impressão</vt:lpstr>
      <vt:lpstr>'Class Auto'!Área_de_Impressão</vt:lpstr>
      <vt:lpstr>'Class Manual'!Área_de_Impressão</vt:lpstr>
      <vt:lpstr>'Par Fem'!Área_de_Impressão</vt:lpstr>
      <vt:lpstr>'Par Masc'!Área_de_Impressão</vt:lpstr>
      <vt:lpstr>'Par Misto'!Área_de_Impressão</vt:lpstr>
      <vt:lpstr>'Sing Fem'!Área_de_Impressão</vt:lpstr>
      <vt:lpstr>'Sing Masc'!Área_de_Impressão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Pinto</dc:creator>
  <cp:lastModifiedBy>mjt.gomes</cp:lastModifiedBy>
  <cp:lastPrinted>2017-07-06T01:58:18Z</cp:lastPrinted>
  <dcterms:created xsi:type="dcterms:W3CDTF">2008-04-08T09:02:52Z</dcterms:created>
  <dcterms:modified xsi:type="dcterms:W3CDTF">2017-07-19T09:21:33Z</dcterms:modified>
</cp:coreProperties>
</file>