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liveestacio-my.sharepoint.com/personal/202402568647_alunos_ibmec_edu_br/Documents/"/>
    </mc:Choice>
  </mc:AlternateContent>
  <xr:revisionPtr revIDLastSave="0" documentId="8_{4B29E1EA-3CD4-40DE-9BC0-2D764D6B3398}" xr6:coauthVersionLast="47" xr6:coauthVersionMax="47" xr10:uidLastSave="{00000000-0000-0000-0000-000000000000}"/>
  <bookViews>
    <workbookView xWindow="-120" yWindow="-120" windowWidth="20730" windowHeight="11040" tabRatio="953" activeTab="1" xr2:uid="{00000000-000D-0000-FFFF-FFFF00000000}"/>
  </bookViews>
  <sheets>
    <sheet name="Index" sheetId="20" r:id="rId1"/>
    <sheet name="Assets - Ativo" sheetId="12" r:id="rId2"/>
    <sheet name="Liabilitites - Passivo" sheetId="13" r:id="rId3"/>
    <sheet name="EBITDA Adj. - EBITDA Ajus." sheetId="19" r:id="rId4"/>
    <sheet name="Income Statement - DRE" sheetId="15" r:id="rId5"/>
    <sheet name="Cash Flow - Fluxo de Caixa" sheetId="14" r:id="rId6"/>
    <sheet name="Results - BU - IFRS" sheetId="7" r:id="rId7"/>
    <sheet name="Results - BU - US GAAP" sheetId="16" r:id="rId8"/>
    <sheet name="Indebtedness - Endividamento" sheetId="18" r:id="rId9"/>
  </sheets>
  <definedNames>
    <definedName name="_xlnm.Print_Area" localSheetId="6">'Results - BU - IFRS'!$A$1:$AR$127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5" i="14" l="1"/>
  <c r="AQ21" i="19" l="1"/>
  <c r="AQ22" i="19"/>
  <c r="AQ26" i="19"/>
  <c r="AQ27" i="19"/>
  <c r="AQ28" i="19"/>
  <c r="AH29" i="19" l="1"/>
  <c r="AH44" i="15" l="1"/>
  <c r="AH21" i="15" l="1"/>
  <c r="AH38" i="15"/>
  <c r="AH29" i="15"/>
  <c r="AH36" i="15"/>
  <c r="AH45" i="15"/>
  <c r="AH9" i="15"/>
  <c r="AH7" i="19"/>
  <c r="AH30" i="19" s="1"/>
  <c r="AH42" i="15"/>
  <c r="AR11" i="19" l="1"/>
  <c r="AR14" i="19"/>
  <c r="AR15" i="19"/>
  <c r="AR18" i="19"/>
  <c r="AR19" i="19"/>
  <c r="AR22" i="19"/>
  <c r="AR28" i="19"/>
  <c r="AR10" i="19"/>
  <c r="AI29" i="19" l="1"/>
  <c r="AR27" i="19"/>
  <c r="AR26" i="19"/>
  <c r="AQ30" i="14" l="1"/>
  <c r="AQ29" i="14" l="1"/>
  <c r="AQ83" i="14"/>
  <c r="AH85" i="14"/>
  <c r="AH31" i="14"/>
  <c r="AH43" i="14"/>
  <c r="AH68" i="14"/>
  <c r="AH94" i="14"/>
  <c r="AH96" i="14"/>
  <c r="AH97" i="14"/>
  <c r="AH98" i="14"/>
  <c r="AH45" i="14" l="1"/>
  <c r="AH95" i="14" s="1"/>
  <c r="AH99" i="14" l="1"/>
  <c r="AH50" i="14"/>
  <c r="AI44" i="15" l="1"/>
  <c r="AI29" i="15" l="1"/>
  <c r="AI38" i="15"/>
  <c r="AI36" i="15"/>
  <c r="AI45" i="15"/>
  <c r="AI21" i="15"/>
  <c r="AI19" i="13"/>
  <c r="AI33" i="13"/>
  <c r="AI23" i="12"/>
  <c r="AI32" i="12" s="1"/>
  <c r="AI44" i="13"/>
  <c r="AI47" i="13" s="1"/>
  <c r="AI15" i="15"/>
  <c r="AI9" i="15"/>
  <c r="AI42" i="15"/>
  <c r="AI15" i="12"/>
  <c r="AI49" i="13" l="1"/>
  <c r="AI17" i="15"/>
  <c r="AI34" i="12"/>
  <c r="AI25" i="15" l="1"/>
  <c r="AI30" i="15" l="1"/>
  <c r="AI31" i="15"/>
  <c r="AR20" i="19"/>
  <c r="AI11" i="18"/>
  <c r="AI8" i="18"/>
  <c r="AI7" i="18"/>
  <c r="AI7" i="19" l="1"/>
  <c r="AI18" i="7" l="1"/>
  <c r="AI31" i="7" s="1"/>
  <c r="AI44" i="7" s="1"/>
  <c r="AI57" i="7" s="1"/>
  <c r="AI70" i="7" s="1"/>
  <c r="AI83" i="7" s="1"/>
  <c r="AI96" i="7" s="1"/>
  <c r="AI51" i="16" l="1"/>
  <c r="AI52" i="16" s="1"/>
  <c r="AH9" i="18"/>
  <c r="AH12" i="18" s="1"/>
  <c r="AH55" i="16"/>
  <c r="AG51" i="16"/>
  <c r="AH52" i="16"/>
  <c r="AH48" i="16"/>
  <c r="AH49" i="16" s="1"/>
  <c r="AH42" i="16"/>
  <c r="AH39" i="16"/>
  <c r="AH35" i="16"/>
  <c r="AH36" i="16" s="1"/>
  <c r="AH29" i="16"/>
  <c r="AH26" i="16"/>
  <c r="AH22" i="16"/>
  <c r="AH23" i="16" s="1"/>
  <c r="AH16" i="16"/>
  <c r="AH13" i="16"/>
  <c r="AH9" i="16"/>
  <c r="AH10" i="16" s="1"/>
  <c r="AI9" i="18"/>
  <c r="AI12" i="18" s="1"/>
  <c r="AR54" i="16"/>
  <c r="AR47" i="16"/>
  <c r="AR46" i="16"/>
  <c r="AI55" i="16"/>
  <c r="AI48" i="16"/>
  <c r="AI49" i="16" s="1"/>
  <c r="AI44" i="16"/>
  <c r="AI42" i="16"/>
  <c r="AI39" i="16"/>
  <c r="AI35" i="16"/>
  <c r="AI36" i="16" s="1"/>
  <c r="AI31" i="16"/>
  <c r="AI29" i="16"/>
  <c r="AI26" i="16"/>
  <c r="AI22" i="16"/>
  <c r="AI23" i="16" s="1"/>
  <c r="AI18" i="16"/>
  <c r="AI16" i="16"/>
  <c r="AI13" i="16"/>
  <c r="AI9" i="16"/>
  <c r="AI10" i="16" s="1"/>
  <c r="AR18" i="16"/>
  <c r="AR31" i="16" s="1"/>
  <c r="AR44" i="16" s="1"/>
  <c r="AH107" i="7"/>
  <c r="AH104" i="7"/>
  <c r="AH100" i="7"/>
  <c r="AH101" i="7" s="1"/>
  <c r="AH94" i="7"/>
  <c r="AH91" i="7"/>
  <c r="AH87" i="7"/>
  <c r="AH88" i="7" s="1"/>
  <c r="AH81" i="7"/>
  <c r="AH78" i="7"/>
  <c r="AH74" i="7"/>
  <c r="AH75" i="7" s="1"/>
  <c r="AH68" i="7"/>
  <c r="AH65" i="7"/>
  <c r="AH61" i="7"/>
  <c r="AH62" i="7" s="1"/>
  <c r="AH55" i="7"/>
  <c r="AH52" i="7"/>
  <c r="AH48" i="7"/>
  <c r="AH49" i="7" s="1"/>
  <c r="AH42" i="7"/>
  <c r="AH39" i="7"/>
  <c r="AH35" i="7"/>
  <c r="AH36" i="7" s="1"/>
  <c r="AH29" i="7"/>
  <c r="AH26" i="7"/>
  <c r="AH22" i="7"/>
  <c r="AH23" i="7" s="1"/>
  <c r="AH16" i="7"/>
  <c r="AH13" i="7"/>
  <c r="AH9" i="7"/>
  <c r="AH10" i="7" s="1"/>
  <c r="AI78" i="7"/>
  <c r="AI65" i="7"/>
  <c r="AI39" i="7"/>
  <c r="AR96" i="7"/>
  <c r="AR83" i="7"/>
  <c r="AR70" i="7"/>
  <c r="AR57" i="7"/>
  <c r="AR44" i="7"/>
  <c r="AR31" i="7"/>
  <c r="AR18" i="7"/>
  <c r="AP28" i="19"/>
  <c r="AO28" i="19"/>
  <c r="AP22" i="19"/>
  <c r="AO22" i="19"/>
  <c r="AP21" i="19"/>
  <c r="AO21" i="19"/>
  <c r="AQ20" i="19"/>
  <c r="AP20" i="19"/>
  <c r="AO20" i="19"/>
  <c r="AQ94" i="14"/>
  <c r="AQ84" i="14"/>
  <c r="AQ81" i="14"/>
  <c r="AQ80" i="14"/>
  <c r="AQ78" i="14"/>
  <c r="AQ77" i="14"/>
  <c r="AQ76" i="14"/>
  <c r="AQ66" i="14"/>
  <c r="AQ67" i="14"/>
  <c r="AQ64" i="14"/>
  <c r="AQ63" i="14"/>
  <c r="AQ62" i="14"/>
  <c r="AQ60" i="14"/>
  <c r="AQ59" i="14"/>
  <c r="AQ56" i="14"/>
  <c r="AQ28" i="14"/>
  <c r="AQ27" i="14"/>
  <c r="AQ26" i="14"/>
  <c r="AQ23" i="14"/>
  <c r="AQ21" i="14"/>
  <c r="AQ19" i="14"/>
  <c r="AQ18" i="14"/>
  <c r="AQ17" i="14"/>
  <c r="AG98" i="14"/>
  <c r="AG97" i="14"/>
  <c r="AG96" i="14"/>
  <c r="AG91" i="14"/>
  <c r="AG85" i="14"/>
  <c r="AG68" i="14"/>
  <c r="AG43" i="14"/>
  <c r="AG31" i="14"/>
  <c r="AH44" i="13"/>
  <c r="AH33" i="13"/>
  <c r="AH19" i="13"/>
  <c r="AH15" i="12"/>
  <c r="AH23" i="12"/>
  <c r="AH32" i="12" s="1"/>
  <c r="AH90" i="14" l="1"/>
  <c r="AH47" i="13"/>
  <c r="AH49" i="13" s="1"/>
  <c r="AG45" i="14"/>
  <c r="AG50" i="14" s="1"/>
  <c r="AR55" i="16"/>
  <c r="AH34" i="12"/>
  <c r="AH91" i="14" l="1"/>
  <c r="AG95" i="14"/>
  <c r="AG55" i="16"/>
  <c r="AG48" i="16"/>
  <c r="AG49" i="16" s="1"/>
  <c r="AG44" i="16"/>
  <c r="AG31" i="16"/>
  <c r="AG18" i="16"/>
  <c r="AG96" i="7"/>
  <c r="AG83" i="7"/>
  <c r="AG70" i="7"/>
  <c r="AG57" i="7"/>
  <c r="AG44" i="7"/>
  <c r="AG31" i="7"/>
  <c r="AG18" i="7"/>
  <c r="AG99" i="14" l="1"/>
  <c r="AG104" i="7"/>
  <c r="AG39" i="7"/>
  <c r="AG48" i="7"/>
  <c r="AG49" i="7" s="1"/>
  <c r="AG26" i="7"/>
  <c r="AG52" i="7"/>
  <c r="AG52" i="16"/>
  <c r="AG94" i="7"/>
  <c r="AG91" i="7"/>
  <c r="AG65" i="7"/>
  <c r="AG16" i="7"/>
  <c r="AG29" i="7"/>
  <c r="AG61" i="7"/>
  <c r="AG62" i="7" s="1"/>
  <c r="AG35" i="7"/>
  <c r="AG36" i="7" s="1"/>
  <c r="AG68" i="7"/>
  <c r="AG100" i="7"/>
  <c r="AG101" i="7" s="1"/>
  <c r="AG81" i="7"/>
  <c r="AG87" i="7"/>
  <c r="AG88" i="7" s="1"/>
  <c r="AG42" i="7"/>
  <c r="AG78" i="7"/>
  <c r="AG55" i="7"/>
  <c r="AG9" i="7"/>
  <c r="AG10" i="7" s="1"/>
  <c r="AG13" i="7"/>
  <c r="AG107" i="7"/>
  <c r="AG35" i="16"/>
  <c r="AG36" i="16" s="1"/>
  <c r="AG9" i="16"/>
  <c r="AG10" i="16" s="1"/>
  <c r="AG39" i="16"/>
  <c r="AG13" i="16"/>
  <c r="AG42" i="16"/>
  <c r="AG16" i="16"/>
  <c r="AG29" i="16"/>
  <c r="AG22" i="16"/>
  <c r="AG23" i="16" s="1"/>
  <c r="AG26" i="16"/>
  <c r="AG22" i="7"/>
  <c r="AG23" i="7" s="1"/>
  <c r="AG74" i="7"/>
  <c r="AG75" i="7" s="1"/>
  <c r="AR21" i="19" l="1"/>
  <c r="AR12" i="19"/>
  <c r="AR13" i="19"/>
  <c r="AR17" i="19"/>
  <c r="AQ22" i="14"/>
  <c r="AG29" i="19"/>
  <c r="AG38" i="15"/>
  <c r="AG7" i="18"/>
  <c r="AF97" i="14"/>
  <c r="AF96" i="14"/>
  <c r="AG21" i="15"/>
  <c r="AG11" i="18"/>
  <c r="AF91" i="14"/>
  <c r="AG44" i="13"/>
  <c r="AG29" i="15"/>
  <c r="AG36" i="15"/>
  <c r="AG15" i="12"/>
  <c r="AF85" i="14"/>
  <c r="AF68" i="14"/>
  <c r="AG33" i="13"/>
  <c r="AF43" i="14"/>
  <c r="AF31" i="14"/>
  <c r="AG19" i="13"/>
  <c r="AG8" i="18"/>
  <c r="AG15" i="15"/>
  <c r="AG23" i="12"/>
  <c r="AG32" i="12" s="1"/>
  <c r="AG9" i="15"/>
  <c r="AF98" i="14"/>
  <c r="AG7" i="19"/>
  <c r="AG30" i="19" l="1"/>
  <c r="AG47" i="13"/>
  <c r="AG49" i="13" s="1"/>
  <c r="AG44" i="15"/>
  <c r="AG45" i="15" s="1"/>
  <c r="AG17" i="15"/>
  <c r="AG34" i="12"/>
  <c r="AG9" i="18"/>
  <c r="AG12" i="18" s="1"/>
  <c r="AF45" i="14"/>
  <c r="AR103" i="7"/>
  <c r="AR90" i="7"/>
  <c r="AR77" i="7"/>
  <c r="AR64" i="7"/>
  <c r="AR38" i="7"/>
  <c r="AR7" i="7" l="1"/>
  <c r="AR33" i="7"/>
  <c r="AR39" i="7" s="1"/>
  <c r="AR46" i="7"/>
  <c r="AR99" i="7"/>
  <c r="AR59" i="7"/>
  <c r="AR65" i="7" s="1"/>
  <c r="AR98" i="7"/>
  <c r="AR104" i="7" s="1"/>
  <c r="AR85" i="7"/>
  <c r="AR91" i="7" s="1"/>
  <c r="AR72" i="7"/>
  <c r="AR78" i="7" s="1"/>
  <c r="AF50" i="14"/>
  <c r="AG25" i="15"/>
  <c r="AG42" i="15"/>
  <c r="AF95" i="14"/>
  <c r="AF42" i="7"/>
  <c r="AR20" i="7" l="1"/>
  <c r="AI100" i="7"/>
  <c r="AI101" i="7" s="1"/>
  <c r="AI104" i="7"/>
  <c r="AI91" i="7"/>
  <c r="AG30" i="15"/>
  <c r="AG31" i="15"/>
  <c r="AF99" i="14"/>
  <c r="AQ11" i="14" l="1"/>
  <c r="AQ20" i="14"/>
  <c r="AQ9" i="14"/>
  <c r="AQ6" i="14"/>
  <c r="AQ25" i="14"/>
  <c r="AQ48" i="14"/>
  <c r="AQ12" i="14"/>
  <c r="AQ24" i="14"/>
  <c r="AQ8" i="14"/>
  <c r="AQ16" i="14"/>
  <c r="AQ15" i="14"/>
  <c r="AQ10" i="14"/>
  <c r="AQ14" i="14"/>
  <c r="AQ57" i="14"/>
  <c r="AQ89" i="14"/>
  <c r="AQ13" i="14"/>
  <c r="AQ33" i="14"/>
  <c r="AQ55" i="14"/>
  <c r="AQ40" i="14"/>
  <c r="AQ37" i="14"/>
  <c r="AQ35" i="14"/>
  <c r="AQ73" i="14"/>
  <c r="AQ34" i="14"/>
  <c r="AQ72" i="14"/>
  <c r="AQ42" i="14"/>
  <c r="AQ47" i="14"/>
  <c r="AQ79" i="14"/>
  <c r="AQ74" i="14"/>
  <c r="AQ53" i="14"/>
  <c r="AQ96" i="14" s="1"/>
  <c r="AQ75" i="14"/>
  <c r="AQ54" i="14"/>
  <c r="AQ82" i="14"/>
  <c r="AQ41" i="14"/>
  <c r="AQ87" i="14"/>
  <c r="AQ58" i="14"/>
  <c r="AQ39" i="14"/>
  <c r="AQ38" i="14"/>
  <c r="AQ61" i="14"/>
  <c r="AQ65" i="14"/>
  <c r="AQ36" i="14"/>
  <c r="AQ71" i="14"/>
  <c r="AF43" i="15"/>
  <c r="AQ31" i="14" l="1"/>
  <c r="AQ97" i="14"/>
  <c r="AR14" i="15"/>
  <c r="AH12" i="15"/>
  <c r="AH11" i="15"/>
  <c r="AR13" i="15"/>
  <c r="AR8" i="15"/>
  <c r="AF38" i="15"/>
  <c r="AR34" i="15"/>
  <c r="AR19" i="15"/>
  <c r="AR20" i="15"/>
  <c r="AR23" i="15"/>
  <c r="AR27" i="15"/>
  <c r="AR28" i="15"/>
  <c r="AR7" i="15"/>
  <c r="AR35" i="15"/>
  <c r="AR38" i="15" l="1"/>
  <c r="AR15" i="15"/>
  <c r="AH15" i="15"/>
  <c r="AR36" i="15"/>
  <c r="AR29" i="15"/>
  <c r="AR9" i="15"/>
  <c r="AR21" i="15"/>
  <c r="AR43" i="15"/>
  <c r="AE9" i="18"/>
  <c r="AE12" i="18" s="1"/>
  <c r="AH17" i="15" l="1"/>
  <c r="AR17" i="15"/>
  <c r="AH25" i="15" l="1"/>
  <c r="AR16" i="19"/>
  <c r="AF29" i="15"/>
  <c r="AH30" i="15" l="1"/>
  <c r="AH31" i="15"/>
  <c r="AR7" i="16" l="1"/>
  <c r="AR8" i="16"/>
  <c r="AR33" i="16"/>
  <c r="AR21" i="16"/>
  <c r="AR34" i="16"/>
  <c r="AR20" i="16"/>
  <c r="AR15" i="16"/>
  <c r="AR28" i="16"/>
  <c r="AR41" i="16"/>
  <c r="AR12" i="16"/>
  <c r="AR25" i="16"/>
  <c r="AR38" i="16"/>
  <c r="AF35" i="16"/>
  <c r="AR35" i="16" s="1"/>
  <c r="AE94" i="14"/>
  <c r="AE98" i="14"/>
  <c r="AE85" i="14"/>
  <c r="AQ85" i="14" s="1"/>
  <c r="AE68" i="14"/>
  <c r="AQ68" i="14" s="1"/>
  <c r="AE96" i="14"/>
  <c r="AE97" i="14"/>
  <c r="AE43" i="14"/>
  <c r="AQ43" i="14" s="1"/>
  <c r="AE31" i="14"/>
  <c r="AQ98" i="14" l="1"/>
  <c r="AR16" i="16"/>
  <c r="AR39" i="16"/>
  <c r="AR13" i="16"/>
  <c r="AR26" i="16"/>
  <c r="AR29" i="16"/>
  <c r="AR42" i="16"/>
  <c r="AR36" i="16"/>
  <c r="AE45" i="14"/>
  <c r="AE50" i="14" l="1"/>
  <c r="AQ45" i="14"/>
  <c r="AQ95" i="14" s="1"/>
  <c r="AQ99" i="14" s="1"/>
  <c r="AE95" i="14"/>
  <c r="AQ50" i="14" l="1"/>
  <c r="AE99" i="14"/>
  <c r="AF22" i="16"/>
  <c r="AR22" i="16" s="1"/>
  <c r="AR23" i="16" s="1"/>
  <c r="AF9" i="16"/>
  <c r="AR9" i="16" s="1"/>
  <c r="AR10" i="16" s="1"/>
  <c r="AF51" i="16"/>
  <c r="AF48" i="16"/>
  <c r="AR48" i="16" s="1"/>
  <c r="AR49" i="16" s="1"/>
  <c r="AR51" i="16" l="1"/>
  <c r="AR52" i="16" s="1"/>
  <c r="AF104" i="7"/>
  <c r="AF100" i="7"/>
  <c r="AF96" i="7"/>
  <c r="AF91" i="7"/>
  <c r="AF83" i="7"/>
  <c r="AF70" i="7"/>
  <c r="AF65" i="7"/>
  <c r="AF57" i="7"/>
  <c r="AF52" i="7"/>
  <c r="AF44" i="7"/>
  <c r="AF39" i="7"/>
  <c r="AF31" i="7"/>
  <c r="AF18" i="7"/>
  <c r="AF11" i="18"/>
  <c r="AF8" i="18"/>
  <c r="AF7" i="18"/>
  <c r="AF29" i="19"/>
  <c r="AR23" i="19"/>
  <c r="AR24" i="19"/>
  <c r="AR25" i="19"/>
  <c r="AF7" i="19"/>
  <c r="AR7" i="19" s="1"/>
  <c r="AF41" i="15"/>
  <c r="AF36" i="15"/>
  <c r="AF21" i="15"/>
  <c r="AF15" i="15"/>
  <c r="AF9" i="15"/>
  <c r="AF44" i="13"/>
  <c r="AF23" i="12"/>
  <c r="AF32" i="12" s="1"/>
  <c r="AF17" i="12"/>
  <c r="AF15" i="12"/>
  <c r="AF35" i="13"/>
  <c r="AF33" i="13"/>
  <c r="AF21" i="13"/>
  <c r="AF19" i="13"/>
  <c r="AF101" i="7" l="1"/>
  <c r="AR100" i="7"/>
  <c r="AR101" i="7" s="1"/>
  <c r="AF47" i="13"/>
  <c r="AF49" i="13" s="1"/>
  <c r="AF44" i="15"/>
  <c r="AF78" i="7"/>
  <c r="AF9" i="18"/>
  <c r="AF12" i="18" s="1"/>
  <c r="AF30" i="19"/>
  <c r="AF17" i="15"/>
  <c r="AF34" i="12"/>
  <c r="AF25" i="15" l="1"/>
  <c r="AF42" i="15"/>
  <c r="AF45" i="15"/>
  <c r="AF55" i="16"/>
  <c r="AF52" i="16"/>
  <c r="AF49" i="16"/>
  <c r="AF44" i="16"/>
  <c r="AF42" i="16"/>
  <c r="AF36" i="16"/>
  <c r="AF39" i="16"/>
  <c r="AF31" i="16"/>
  <c r="AF29" i="16"/>
  <c r="AF26" i="16"/>
  <c r="AF23" i="16"/>
  <c r="AF18" i="16"/>
  <c r="AR25" i="15" l="1"/>
  <c r="AF30" i="15"/>
  <c r="AF31" i="15"/>
  <c r="AF10" i="16"/>
  <c r="AF13" i="16"/>
  <c r="AF16" i="16"/>
  <c r="AR30" i="15" l="1"/>
  <c r="AR31" i="15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AA98" i="14"/>
  <c r="AB98" i="14"/>
  <c r="AC98" i="14"/>
  <c r="AC99" i="14" s="1"/>
  <c r="AP23" i="14"/>
  <c r="AP67" i="14"/>
  <c r="AP94" i="14"/>
  <c r="AQ41" i="15"/>
  <c r="AQ12" i="19" l="1"/>
  <c r="AQ13" i="19"/>
  <c r="AN98" i="14"/>
  <c r="AB38" i="15"/>
  <c r="AC38" i="15"/>
  <c r="AC10" i="16" l="1"/>
  <c r="AP103" i="7"/>
  <c r="AO103" i="7"/>
  <c r="AP90" i="7"/>
  <c r="AO90" i="7"/>
  <c r="AD9" i="7"/>
  <c r="AC9" i="7"/>
  <c r="AB9" i="7"/>
  <c r="AA9" i="7"/>
  <c r="Z9" i="7"/>
  <c r="Y9" i="7"/>
  <c r="X9" i="7"/>
  <c r="AD22" i="7"/>
  <c r="AC22" i="7"/>
  <c r="AB22" i="7"/>
  <c r="AA22" i="7"/>
  <c r="Z22" i="7"/>
  <c r="Y22" i="7"/>
  <c r="X22" i="7"/>
  <c r="AD35" i="7"/>
  <c r="AC35" i="7"/>
  <c r="AB35" i="7"/>
  <c r="AA35" i="7"/>
  <c r="Z35" i="7"/>
  <c r="Y35" i="7"/>
  <c r="X35" i="7"/>
  <c r="AD48" i="7"/>
  <c r="AC48" i="7"/>
  <c r="AB48" i="7"/>
  <c r="AA48" i="7"/>
  <c r="Z48" i="7"/>
  <c r="Y48" i="7"/>
  <c r="X48" i="7"/>
  <c r="AD61" i="7"/>
  <c r="AC61" i="7"/>
  <c r="AB61" i="7"/>
  <c r="AA61" i="7"/>
  <c r="Z61" i="7"/>
  <c r="Y61" i="7"/>
  <c r="X61" i="7"/>
  <c r="X74" i="7"/>
  <c r="Y74" i="7"/>
  <c r="Z74" i="7"/>
  <c r="AA74" i="7"/>
  <c r="AB74" i="7"/>
  <c r="AC74" i="7"/>
  <c r="AD74" i="7"/>
  <c r="AD87" i="7"/>
  <c r="AC87" i="7"/>
  <c r="AB87" i="7"/>
  <c r="AA87" i="7"/>
  <c r="Z87" i="7"/>
  <c r="Y87" i="7"/>
  <c r="X87" i="7"/>
  <c r="X100" i="7"/>
  <c r="Y100" i="7"/>
  <c r="Z100" i="7"/>
  <c r="AA100" i="7"/>
  <c r="AB100" i="7"/>
  <c r="AC100" i="7"/>
  <c r="AD100" i="7"/>
  <c r="AQ103" i="7" l="1"/>
  <c r="AQ90" i="7"/>
  <c r="AQ77" i="7"/>
  <c r="AQ64" i="7"/>
  <c r="AQ51" i="7"/>
  <c r="AQ38" i="7"/>
  <c r="AQ25" i="7"/>
  <c r="AQ12" i="7"/>
  <c r="AQ8" i="16" l="1"/>
  <c r="AD16" i="16"/>
  <c r="AD13" i="16"/>
  <c r="AD10" i="16"/>
  <c r="AQ15" i="16"/>
  <c r="AQ41" i="16" l="1"/>
  <c r="AQ7" i="16" l="1"/>
  <c r="AE10" i="16" l="1"/>
  <c r="AD90" i="14" l="1"/>
  <c r="AP87" i="14"/>
  <c r="AP84" i="14"/>
  <c r="AP81" i="14"/>
  <c r="AP80" i="14"/>
  <c r="AP79" i="14"/>
  <c r="AP78" i="14"/>
  <c r="AP77" i="14"/>
  <c r="AP76" i="14"/>
  <c r="AP75" i="14"/>
  <c r="AP74" i="14"/>
  <c r="AP73" i="14"/>
  <c r="AP72" i="14"/>
  <c r="AP71" i="14"/>
  <c r="AP66" i="14"/>
  <c r="AP65" i="14"/>
  <c r="AP64" i="14"/>
  <c r="AP63" i="14"/>
  <c r="AP62" i="14"/>
  <c r="AP61" i="14"/>
  <c r="AP60" i="14"/>
  <c r="AP59" i="14"/>
  <c r="AP58" i="14"/>
  <c r="AP57" i="14"/>
  <c r="AP56" i="14"/>
  <c r="AP55" i="14"/>
  <c r="AP54" i="14"/>
  <c r="AP53" i="14" l="1"/>
  <c r="AP96" i="14" s="1"/>
  <c r="AP82" i="14"/>
  <c r="AD98" i="14"/>
  <c r="AD91" i="14"/>
  <c r="AE91" i="14" s="1"/>
  <c r="AP89" i="14"/>
  <c r="AD68" i="14"/>
  <c r="AD85" i="14"/>
  <c r="AP48" i="14"/>
  <c r="AP47" i="14"/>
  <c r="AP42" i="14"/>
  <c r="AP41" i="14"/>
  <c r="AP40" i="14"/>
  <c r="AP39" i="14"/>
  <c r="AP38" i="14"/>
  <c r="AP37" i="14"/>
  <c r="AP36" i="14"/>
  <c r="AP35" i="14"/>
  <c r="AP34" i="14"/>
  <c r="AP33" i="14"/>
  <c r="AP6" i="14"/>
  <c r="AP28" i="14"/>
  <c r="AP26" i="14"/>
  <c r="AP25" i="14"/>
  <c r="AP24" i="14"/>
  <c r="AP22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P9" i="14"/>
  <c r="AP8" i="14"/>
  <c r="AP31" i="14" l="1"/>
  <c r="AP98" i="14"/>
  <c r="AP97" i="14"/>
  <c r="AD31" i="14"/>
  <c r="AD97" i="14"/>
  <c r="AQ43" i="15"/>
  <c r="AQ38" i="15" l="1"/>
  <c r="AQ35" i="15"/>
  <c r="AQ34" i="15"/>
  <c r="AQ28" i="15"/>
  <c r="AQ23" i="15"/>
  <c r="AQ20" i="15"/>
  <c r="AQ19" i="15"/>
  <c r="AQ14" i="15"/>
  <c r="AQ13" i="15"/>
  <c r="AQ12" i="15"/>
  <c r="AQ36" i="15" l="1"/>
  <c r="AQ21" i="15"/>
  <c r="AE29" i="15"/>
  <c r="AQ27" i="15"/>
  <c r="AQ29" i="15" s="1"/>
  <c r="AQ11" i="15"/>
  <c r="AQ15" i="15" s="1"/>
  <c r="AQ8" i="15"/>
  <c r="AQ7" i="15"/>
  <c r="AQ9" i="15" l="1"/>
  <c r="AQ17" i="15" s="1"/>
  <c r="AQ25" i="15" s="1"/>
  <c r="AQ31" i="15" s="1"/>
  <c r="AP13" i="19"/>
  <c r="AP14" i="19"/>
  <c r="AO13" i="19"/>
  <c r="AO14" i="19"/>
  <c r="AQ11" i="19"/>
  <c r="AQ10" i="19"/>
  <c r="AQ7" i="19"/>
  <c r="AQ30" i="15" l="1"/>
  <c r="AQ14" i="19"/>
  <c r="AE29" i="19" l="1"/>
  <c r="AE30" i="19" l="1"/>
  <c r="AE47" i="13"/>
  <c r="AP25" i="16"/>
  <c r="AP15" i="16"/>
  <c r="AP12" i="16"/>
  <c r="AQ9" i="16"/>
  <c r="AQ18" i="16"/>
  <c r="AQ31" i="16" s="1"/>
  <c r="AQ44" i="16" s="1"/>
  <c r="AE44" i="16"/>
  <c r="AE31" i="16"/>
  <c r="AE18" i="16"/>
  <c r="AQ18" i="7"/>
  <c r="AQ31" i="7"/>
  <c r="AQ44" i="7"/>
  <c r="AQ57" i="7"/>
  <c r="AQ70" i="7"/>
  <c r="AQ96" i="7"/>
  <c r="AQ83" i="7"/>
  <c r="AE96" i="7"/>
  <c r="AE83" i="7"/>
  <c r="AE70" i="7"/>
  <c r="AE57" i="7"/>
  <c r="AE44" i="7"/>
  <c r="AE31" i="7"/>
  <c r="AE18" i="7"/>
  <c r="AQ10" i="16" l="1"/>
  <c r="AD94" i="14"/>
  <c r="AE41" i="15"/>
  <c r="AP9" i="19"/>
  <c r="AE35" i="13"/>
  <c r="AE21" i="13"/>
  <c r="AE17" i="12"/>
  <c r="AC10" i="7" l="1"/>
  <c r="AB10" i="7"/>
  <c r="AA10" i="7"/>
  <c r="Z10" i="7"/>
  <c r="Y10" i="7"/>
  <c r="X10" i="7"/>
  <c r="W10" i="7"/>
  <c r="V10" i="7"/>
  <c r="U10" i="7"/>
  <c r="T10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H16" i="7"/>
  <c r="F16" i="7"/>
  <c r="E16" i="7"/>
  <c r="AC23" i="7"/>
  <c r="AB23" i="7"/>
  <c r="AA23" i="7"/>
  <c r="Z23" i="7"/>
  <c r="Y23" i="7"/>
  <c r="X23" i="7"/>
  <c r="W23" i="7"/>
  <c r="V23" i="7"/>
  <c r="U23" i="7"/>
  <c r="T23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AC29" i="7"/>
  <c r="AB29" i="7"/>
  <c r="AA29" i="7"/>
  <c r="Z29" i="7"/>
  <c r="Y29" i="7"/>
  <c r="X29" i="7"/>
  <c r="W29" i="7"/>
  <c r="V29" i="7"/>
  <c r="U29" i="7"/>
  <c r="T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AC36" i="7"/>
  <c r="AB36" i="7"/>
  <c r="AA36" i="7"/>
  <c r="Z36" i="7"/>
  <c r="Y36" i="7"/>
  <c r="X36" i="7"/>
  <c r="AC39" i="7"/>
  <c r="AB39" i="7"/>
  <c r="AA39" i="7"/>
  <c r="Z39" i="7"/>
  <c r="Y39" i="7"/>
  <c r="X39" i="7"/>
  <c r="W39" i="7"/>
  <c r="AC42" i="7"/>
  <c r="AB42" i="7"/>
  <c r="AA42" i="7"/>
  <c r="Z42" i="7"/>
  <c r="Y42" i="7"/>
  <c r="X42" i="7"/>
  <c r="W42" i="7"/>
  <c r="AC49" i="7"/>
  <c r="AB49" i="7"/>
  <c r="AA49" i="7"/>
  <c r="Z49" i="7"/>
  <c r="Y49" i="7"/>
  <c r="X49" i="7"/>
  <c r="W49" i="7"/>
  <c r="AC52" i="7"/>
  <c r="AB52" i="7"/>
  <c r="Z52" i="7"/>
  <c r="Y52" i="7"/>
  <c r="X52" i="7"/>
  <c r="W52" i="7"/>
  <c r="AC55" i="7"/>
  <c r="AB55" i="7"/>
  <c r="AA55" i="7"/>
  <c r="Z55" i="7"/>
  <c r="Y55" i="7"/>
  <c r="X55" i="7"/>
  <c r="W55" i="7"/>
  <c r="AC62" i="7"/>
  <c r="AB62" i="7"/>
  <c r="AA62" i="7"/>
  <c r="Z62" i="7"/>
  <c r="Y62" i="7"/>
  <c r="X62" i="7"/>
  <c r="W62" i="7"/>
  <c r="V62" i="7"/>
  <c r="U62" i="7"/>
  <c r="T62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AC78" i="7"/>
  <c r="AB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AC75" i="7"/>
  <c r="AB75" i="7"/>
  <c r="AA75" i="7"/>
  <c r="Z75" i="7"/>
  <c r="Y75" i="7"/>
  <c r="X75" i="7"/>
  <c r="W75" i="7"/>
  <c r="V75" i="7"/>
  <c r="U75" i="7"/>
  <c r="T75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F81" i="7"/>
  <c r="E81" i="7"/>
  <c r="AC88" i="7"/>
  <c r="AB88" i="7"/>
  <c r="AA88" i="7"/>
  <c r="Z88" i="7"/>
  <c r="Y88" i="7"/>
  <c r="X88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G101" i="7"/>
  <c r="AL7" i="7"/>
  <c r="AL8" i="7"/>
  <c r="AL9" i="7" l="1"/>
  <c r="G7" i="7"/>
  <c r="F9" i="7"/>
  <c r="F10" i="7" s="1"/>
  <c r="G16" i="7" l="1"/>
  <c r="AK7" i="7"/>
  <c r="AK25" i="7"/>
  <c r="H94" i="7"/>
  <c r="W87" i="7"/>
  <c r="W88" i="7" s="1"/>
  <c r="V87" i="7"/>
  <c r="V88" i="7" s="1"/>
  <c r="U87" i="7"/>
  <c r="U88" i="7" s="1"/>
  <c r="T87" i="7"/>
  <c r="T88" i="7" s="1"/>
  <c r="S87" i="7"/>
  <c r="S88" i="7" s="1"/>
  <c r="R87" i="7"/>
  <c r="R88" i="7" s="1"/>
  <c r="Q87" i="7"/>
  <c r="Q88" i="7" s="1"/>
  <c r="P87" i="7"/>
  <c r="P88" i="7" s="1"/>
  <c r="O87" i="7"/>
  <c r="O88" i="7" s="1"/>
  <c r="N87" i="7"/>
  <c r="N88" i="7" s="1"/>
  <c r="M87" i="7"/>
  <c r="M88" i="7" s="1"/>
  <c r="L87" i="7"/>
  <c r="L88" i="7" s="1"/>
  <c r="K87" i="7"/>
  <c r="K88" i="7" s="1"/>
  <c r="J87" i="7"/>
  <c r="J88" i="7" s="1"/>
  <c r="I87" i="7"/>
  <c r="I88" i="7" s="1"/>
  <c r="H87" i="7"/>
  <c r="H88" i="7" s="1"/>
  <c r="G87" i="7"/>
  <c r="G88" i="7" s="1"/>
  <c r="F87" i="7"/>
  <c r="E87" i="7"/>
  <c r="D87" i="7"/>
  <c r="H26" i="7"/>
  <c r="AB97" i="14" l="1"/>
  <c r="AA97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C97" i="14"/>
  <c r="AB96" i="14"/>
  <c r="AA96" i="14"/>
  <c r="Y96" i="14"/>
  <c r="X96" i="14"/>
  <c r="W96" i="14"/>
  <c r="V96" i="14"/>
  <c r="U96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C96" i="14"/>
  <c r="AB95" i="14"/>
  <c r="AB99" i="14" l="1"/>
  <c r="AK56" i="14"/>
  <c r="AO12" i="19" l="1"/>
  <c r="D29" i="19" l="1"/>
  <c r="D44" i="15" s="1"/>
  <c r="AC29" i="19"/>
  <c r="AB29" i="19"/>
  <c r="AB44" i="15" s="1"/>
  <c r="Z29" i="19"/>
  <c r="Z44" i="15" s="1"/>
  <c r="Y29" i="19"/>
  <c r="Y44" i="15" s="1"/>
  <c r="X29" i="19"/>
  <c r="X44" i="15" s="1"/>
  <c r="W29" i="19"/>
  <c r="W44" i="15" s="1"/>
  <c r="V29" i="19"/>
  <c r="V44" i="15" s="1"/>
  <c r="U29" i="19"/>
  <c r="U44" i="15" s="1"/>
  <c r="T29" i="19"/>
  <c r="T44" i="15" s="1"/>
  <c r="S29" i="19"/>
  <c r="S44" i="15" s="1"/>
  <c r="R29" i="19"/>
  <c r="R44" i="15" s="1"/>
  <c r="Q29" i="19"/>
  <c r="Q44" i="15" s="1"/>
  <c r="P29" i="19"/>
  <c r="P44" i="15" s="1"/>
  <c r="O29" i="19"/>
  <c r="O44" i="15" s="1"/>
  <c r="N29" i="19"/>
  <c r="N44" i="15" s="1"/>
  <c r="M29" i="19"/>
  <c r="M44" i="15" s="1"/>
  <c r="L29" i="19"/>
  <c r="L44" i="15" s="1"/>
  <c r="I29" i="19"/>
  <c r="I44" i="15" s="1"/>
  <c r="H29" i="19"/>
  <c r="H44" i="15" s="1"/>
  <c r="E29" i="19"/>
  <c r="E44" i="15" s="1"/>
  <c r="AC44" i="15" l="1"/>
  <c r="I12" i="7"/>
  <c r="I13" i="7" s="1"/>
  <c r="I42" i="15" l="1"/>
  <c r="H91" i="7" l="1"/>
  <c r="H104" i="7" l="1"/>
  <c r="AQ12" i="16" l="1"/>
  <c r="AQ13" i="16" s="1"/>
  <c r="AP38" i="15" l="1"/>
  <c r="AO38" i="15"/>
  <c r="T42" i="7" l="1"/>
  <c r="T39" i="7"/>
  <c r="D29" i="7"/>
  <c r="D16" i="7"/>
  <c r="H13" i="7"/>
  <c r="AO25" i="7"/>
  <c r="AC52" i="16" l="1"/>
  <c r="AB52" i="16"/>
  <c r="AA52" i="16"/>
  <c r="Z52" i="16"/>
  <c r="Y52" i="16"/>
  <c r="X52" i="16"/>
  <c r="W52" i="16"/>
  <c r="V52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AQ51" i="16"/>
  <c r="AQ38" i="16"/>
  <c r="AC39" i="16"/>
  <c r="AB39" i="16"/>
  <c r="AA39" i="16"/>
  <c r="Z39" i="16"/>
  <c r="Y39" i="16"/>
  <c r="X39" i="16"/>
  <c r="W39" i="16"/>
  <c r="V39" i="16"/>
  <c r="U39" i="16"/>
  <c r="T39" i="16"/>
  <c r="L39" i="16"/>
  <c r="M39" i="16"/>
  <c r="N39" i="16"/>
  <c r="O39" i="16"/>
  <c r="P39" i="16"/>
  <c r="Q39" i="16"/>
  <c r="R39" i="16"/>
  <c r="S39" i="16"/>
  <c r="F39" i="16"/>
  <c r="E39" i="16"/>
  <c r="G39" i="16"/>
  <c r="H39" i="16"/>
  <c r="I39" i="16"/>
  <c r="J39" i="16"/>
  <c r="K39" i="16"/>
  <c r="D39" i="16"/>
  <c r="AK15" i="16"/>
  <c r="AL15" i="16"/>
  <c r="AM15" i="16"/>
  <c r="AN15" i="16"/>
  <c r="AK7" i="16"/>
  <c r="T26" i="16"/>
  <c r="U26" i="16"/>
  <c r="V26" i="16"/>
  <c r="W26" i="16"/>
  <c r="X26" i="16"/>
  <c r="Y26" i="16"/>
  <c r="Z26" i="16"/>
  <c r="AA26" i="16"/>
  <c r="AB26" i="16"/>
  <c r="AC26" i="16"/>
  <c r="AQ25" i="16"/>
  <c r="T16" i="16"/>
  <c r="U16" i="16"/>
  <c r="W16" i="16"/>
  <c r="X16" i="16"/>
  <c r="Y16" i="16"/>
  <c r="Z16" i="16"/>
  <c r="AA16" i="16"/>
  <c r="AB16" i="16"/>
  <c r="AC16" i="16"/>
  <c r="U13" i="16"/>
  <c r="W13" i="16"/>
  <c r="X13" i="16"/>
  <c r="Y13" i="16"/>
  <c r="Z13" i="16"/>
  <c r="AA13" i="16"/>
  <c r="AB13" i="16"/>
  <c r="AC13" i="16"/>
  <c r="T10" i="16"/>
  <c r="T13" i="16"/>
  <c r="U10" i="16"/>
  <c r="X10" i="16"/>
  <c r="Y10" i="16"/>
  <c r="Z10" i="16"/>
  <c r="AA10" i="16"/>
  <c r="AB10" i="16"/>
  <c r="AK13" i="16" l="1"/>
  <c r="AN53" i="14" l="1"/>
  <c r="AO54" i="14"/>
  <c r="AD96" i="14" l="1"/>
  <c r="AQ25" i="19"/>
  <c r="AQ24" i="19"/>
  <c r="AQ18" i="19"/>
  <c r="AQ23" i="19"/>
  <c r="AQ17" i="19"/>
  <c r="AQ16" i="19"/>
  <c r="AO43" i="15" l="1"/>
  <c r="AQ15" i="19" l="1"/>
  <c r="AQ19" i="19"/>
  <c r="AC42" i="15"/>
  <c r="AC36" i="15"/>
  <c r="AC29" i="15"/>
  <c r="AC21" i="15"/>
  <c r="AC15" i="15"/>
  <c r="AC9" i="15"/>
  <c r="AC19" i="13"/>
  <c r="AC49" i="13" s="1"/>
  <c r="AC23" i="12"/>
  <c r="AC32" i="12" s="1"/>
  <c r="AC15" i="12"/>
  <c r="AC34" i="12" l="1"/>
  <c r="AC17" i="15"/>
  <c r="AC25" i="15" s="1"/>
  <c r="AC31" i="15" s="1"/>
  <c r="AE44" i="15"/>
  <c r="AE42" i="15" s="1"/>
  <c r="AM106" i="7"/>
  <c r="AP106" i="7"/>
  <c r="AM99" i="7"/>
  <c r="AP99" i="7"/>
  <c r="AN96" i="7"/>
  <c r="AM96" i="7"/>
  <c r="AL96" i="7"/>
  <c r="AK96" i="7"/>
  <c r="AL93" i="7"/>
  <c r="AO93" i="7"/>
  <c r="AK98" i="7" l="1"/>
  <c r="AL98" i="7"/>
  <c r="AM85" i="7"/>
  <c r="AN106" i="7"/>
  <c r="AP98" i="7"/>
  <c r="AL99" i="7"/>
  <c r="AO99" i="7"/>
  <c r="AK106" i="7"/>
  <c r="AK99" i="7"/>
  <c r="AN99" i="7"/>
  <c r="AL106" i="7"/>
  <c r="AO106" i="7"/>
  <c r="AO98" i="7"/>
  <c r="AO104" i="7" s="1"/>
  <c r="AK86" i="7"/>
  <c r="AK93" i="7"/>
  <c r="AM98" i="7"/>
  <c r="AM100" i="7" s="1"/>
  <c r="AM101" i="7" s="1"/>
  <c r="AN98" i="7"/>
  <c r="AP93" i="7"/>
  <c r="AN86" i="7"/>
  <c r="AM93" i="7"/>
  <c r="AN93" i="7"/>
  <c r="AM86" i="7"/>
  <c r="AO85" i="7"/>
  <c r="AP85" i="7"/>
  <c r="AO86" i="7"/>
  <c r="AL86" i="7"/>
  <c r="AL85" i="7"/>
  <c r="AP86" i="7"/>
  <c r="AN85" i="7"/>
  <c r="AK85" i="7"/>
  <c r="AP100" i="7" l="1"/>
  <c r="AP101" i="7" s="1"/>
  <c r="AP104" i="7"/>
  <c r="AO94" i="7"/>
  <c r="AO91" i="7"/>
  <c r="AP94" i="7"/>
  <c r="AP91" i="7"/>
  <c r="AK100" i="7"/>
  <c r="AK101" i="7" s="1"/>
  <c r="AM94" i="7"/>
  <c r="AK107" i="7"/>
  <c r="AK87" i="7"/>
  <c r="AK88" i="7" s="1"/>
  <c r="AO87" i="7"/>
  <c r="AO88" i="7" s="1"/>
  <c r="AO100" i="7"/>
  <c r="AO101" i="7" s="1"/>
  <c r="AL107" i="7"/>
  <c r="AM87" i="7"/>
  <c r="AM88" i="7" s="1"/>
  <c r="AL100" i="7"/>
  <c r="AL101" i="7" s="1"/>
  <c r="AN100" i="7"/>
  <c r="AN101" i="7" s="1"/>
  <c r="AO107" i="7"/>
  <c r="AP107" i="7"/>
  <c r="AL87" i="7"/>
  <c r="AL88" i="7" s="1"/>
  <c r="AL94" i="7"/>
  <c r="AN107" i="7"/>
  <c r="AP87" i="7"/>
  <c r="AP88" i="7" s="1"/>
  <c r="AM107" i="7"/>
  <c r="AN94" i="7"/>
  <c r="AN87" i="7"/>
  <c r="AN88" i="7" s="1"/>
  <c r="AK94" i="7"/>
  <c r="AB9" i="18" l="1"/>
  <c r="AB12" i="18" s="1"/>
  <c r="AB55" i="16"/>
  <c r="AB49" i="16"/>
  <c r="AB42" i="16"/>
  <c r="AB36" i="16"/>
  <c r="AB29" i="16"/>
  <c r="AB23" i="16"/>
  <c r="AA43" i="14" l="1"/>
  <c r="AA91" i="14"/>
  <c r="AA85" i="14"/>
  <c r="AP85" i="14" s="1"/>
  <c r="AA68" i="14"/>
  <c r="AP68" i="14" s="1"/>
  <c r="AA31" i="14"/>
  <c r="AA45" i="14" l="1"/>
  <c r="AA95" i="14" l="1"/>
  <c r="AA99" i="14" s="1"/>
  <c r="AA50" i="14"/>
  <c r="AB30" i="19"/>
  <c r="AB42" i="15" l="1"/>
  <c r="AB36" i="15"/>
  <c r="AB29" i="15"/>
  <c r="AB21" i="15"/>
  <c r="AB15" i="15"/>
  <c r="AB9" i="15"/>
  <c r="AB44" i="13"/>
  <c r="AB47" i="13" s="1"/>
  <c r="AB33" i="13"/>
  <c r="AB19" i="13"/>
  <c r="AB23" i="12"/>
  <c r="AB32" i="12" s="1"/>
  <c r="AB15" i="12"/>
  <c r="AB17" i="15" l="1"/>
  <c r="AB25" i="15" s="1"/>
  <c r="AB30" i="15" s="1"/>
  <c r="AB34" i="12"/>
  <c r="AB49" i="13"/>
  <c r="AB45" i="15"/>
  <c r="AB31" i="15" l="1"/>
  <c r="AO89" i="14" l="1"/>
  <c r="Z98" i="14"/>
  <c r="AO98" i="14" s="1"/>
  <c r="Z96" i="14"/>
  <c r="AO48" i="14"/>
  <c r="W16" i="14"/>
  <c r="AO24" i="14"/>
  <c r="AO23" i="14"/>
  <c r="AO25" i="14"/>
  <c r="AO22" i="14"/>
  <c r="AO47" i="14" l="1"/>
  <c r="Z97" i="14"/>
  <c r="AO16" i="14"/>
  <c r="Z68" i="14"/>
  <c r="AP18" i="19" l="1"/>
  <c r="AO19" i="19"/>
  <c r="AO18" i="19"/>
  <c r="AA8" i="18"/>
  <c r="AA7" i="18"/>
  <c r="AA11" i="18"/>
  <c r="AP19" i="19" l="1"/>
  <c r="AP12" i="19"/>
  <c r="AA29" i="19"/>
  <c r="AA29" i="15"/>
  <c r="AA36" i="15"/>
  <c r="Z6" i="14" s="1"/>
  <c r="AA21" i="15"/>
  <c r="AA9" i="18"/>
  <c r="AA12" i="18" s="1"/>
  <c r="W44" i="13"/>
  <c r="W47" i="13" s="1"/>
  <c r="AA7" i="19"/>
  <c r="AP7" i="19" s="1"/>
  <c r="AA44" i="15" l="1"/>
  <c r="AA42" i="15" s="1"/>
  <c r="AA30" i="19"/>
  <c r="AA77" i="7"/>
  <c r="AA78" i="7" s="1"/>
  <c r="AA51" i="7"/>
  <c r="AA52" i="7" s="1"/>
  <c r="Z87" i="14" l="1"/>
  <c r="U30" i="19"/>
  <c r="V30" i="19"/>
  <c r="X30" i="19" l="1"/>
  <c r="X42" i="15"/>
  <c r="W30" i="19"/>
  <c r="AA45" i="15"/>
  <c r="AA34" i="12" l="1"/>
  <c r="Z9" i="18"/>
  <c r="Z12" i="18" s="1"/>
  <c r="Y85" i="14" l="1"/>
  <c r="AO20" i="14" l="1"/>
  <c r="AP10" i="19" l="1"/>
  <c r="Z44" i="13" l="1"/>
  <c r="Z47" i="13" s="1"/>
  <c r="Z19" i="13"/>
  <c r="Z33" i="13"/>
  <c r="Z34" i="12"/>
  <c r="AP28" i="15"/>
  <c r="Z49" i="13" l="1"/>
  <c r="V15" i="16" l="1"/>
  <c r="V8" i="16"/>
  <c r="AO8" i="16" s="1"/>
  <c r="V7" i="16"/>
  <c r="V13" i="16" s="1"/>
  <c r="V29" i="16"/>
  <c r="V22" i="16"/>
  <c r="AO20" i="16"/>
  <c r="W29" i="16"/>
  <c r="W22" i="16"/>
  <c r="W23" i="16" s="1"/>
  <c r="W9" i="16"/>
  <c r="W10" i="16" s="1"/>
  <c r="AL54" i="16"/>
  <c r="AO69" i="16"/>
  <c r="AN69" i="16"/>
  <c r="AM69" i="16"/>
  <c r="AL69" i="16"/>
  <c r="AK69" i="16"/>
  <c r="AO65" i="16"/>
  <c r="AN65" i="16"/>
  <c r="AM65" i="16"/>
  <c r="AL65" i="16"/>
  <c r="AK65" i="16"/>
  <c r="AO64" i="16"/>
  <c r="AN64" i="16"/>
  <c r="AM64" i="16"/>
  <c r="AL64" i="16"/>
  <c r="AK64" i="16"/>
  <c r="AO54" i="16"/>
  <c r="AN54" i="16"/>
  <c r="AM54" i="16"/>
  <c r="AK54" i="16"/>
  <c r="AO47" i="16"/>
  <c r="AN47" i="16"/>
  <c r="AM47" i="16"/>
  <c r="AL47" i="16"/>
  <c r="AK47" i="16"/>
  <c r="AO46" i="16"/>
  <c r="AO52" i="16" s="1"/>
  <c r="AN46" i="16"/>
  <c r="AN52" i="16" s="1"/>
  <c r="AM46" i="16"/>
  <c r="AM52" i="16" s="1"/>
  <c r="AL46" i="16"/>
  <c r="AL52" i="16" s="1"/>
  <c r="AK46" i="16"/>
  <c r="AO41" i="16"/>
  <c r="AN41" i="16"/>
  <c r="AM41" i="16"/>
  <c r="AL41" i="16"/>
  <c r="AK41" i="16"/>
  <c r="AO34" i="16"/>
  <c r="AN34" i="16"/>
  <c r="AM34" i="16"/>
  <c r="AL34" i="16"/>
  <c r="AK34" i="16"/>
  <c r="AO33" i="16"/>
  <c r="AO39" i="16" s="1"/>
  <c r="AN33" i="16"/>
  <c r="AN39" i="16" s="1"/>
  <c r="AM33" i="16"/>
  <c r="AM39" i="16" s="1"/>
  <c r="AL33" i="16"/>
  <c r="AL39" i="16" s="1"/>
  <c r="AK33" i="16"/>
  <c r="AK39" i="16" s="1"/>
  <c r="AP18" i="16"/>
  <c r="AP31" i="16" s="1"/>
  <c r="AP44" i="16" s="1"/>
  <c r="AO18" i="16"/>
  <c r="AO31" i="16" s="1"/>
  <c r="AO44" i="16" s="1"/>
  <c r="AN18" i="16"/>
  <c r="AN31" i="16" s="1"/>
  <c r="AN44" i="16" s="1"/>
  <c r="AM18" i="16"/>
  <c r="AM31" i="16" s="1"/>
  <c r="AM44" i="16" s="1"/>
  <c r="AL18" i="16"/>
  <c r="AL31" i="16" s="1"/>
  <c r="AL44" i="16" s="1"/>
  <c r="AK18" i="16"/>
  <c r="AK31" i="16" s="1"/>
  <c r="AK44" i="16" s="1"/>
  <c r="AA18" i="16"/>
  <c r="Z18" i="16"/>
  <c r="AN28" i="16"/>
  <c r="AM28" i="16"/>
  <c r="AL28" i="16"/>
  <c r="AK28" i="16"/>
  <c r="AO21" i="16"/>
  <c r="AN21" i="16"/>
  <c r="AM21" i="16"/>
  <c r="AL21" i="16"/>
  <c r="AK21" i="16"/>
  <c r="AN20" i="16"/>
  <c r="AN26" i="16" s="1"/>
  <c r="AM20" i="16"/>
  <c r="AM26" i="16" s="1"/>
  <c r="AL20" i="16"/>
  <c r="AL26" i="16" s="1"/>
  <c r="AK20" i="16"/>
  <c r="AK26" i="16" s="1"/>
  <c r="AN8" i="16"/>
  <c r="AM8" i="16"/>
  <c r="AL8" i="16"/>
  <c r="AK8" i="16"/>
  <c r="AK9" i="16" s="1"/>
  <c r="AK10" i="16" s="1"/>
  <c r="AN7" i="16"/>
  <c r="AN13" i="16" s="1"/>
  <c r="AM7" i="16"/>
  <c r="AM13" i="16" s="1"/>
  <c r="AL7" i="16"/>
  <c r="AL13" i="16" s="1"/>
  <c r="S28" i="7"/>
  <c r="S29" i="7" s="1"/>
  <c r="AK70" i="16" l="1"/>
  <c r="AO26" i="16"/>
  <c r="AO22" i="16"/>
  <c r="AO23" i="16" s="1"/>
  <c r="AL70" i="16"/>
  <c r="AO7" i="16"/>
  <c r="AO13" i="16" s="1"/>
  <c r="AP83" i="7"/>
  <c r="AK55" i="16"/>
  <c r="AK52" i="16"/>
  <c r="AO15" i="16"/>
  <c r="V16" i="16"/>
  <c r="AM62" i="16"/>
  <c r="AM83" i="7"/>
  <c r="AL62" i="16"/>
  <c r="AL83" i="7"/>
  <c r="AO62" i="16"/>
  <c r="AO83" i="7"/>
  <c r="AN62" i="16"/>
  <c r="AN83" i="7"/>
  <c r="AK62" i="16"/>
  <c r="AK83" i="7"/>
  <c r="AO55" i="16"/>
  <c r="AK22" i="16"/>
  <c r="AK23" i="16" s="1"/>
  <c r="AN16" i="16"/>
  <c r="AM16" i="16"/>
  <c r="AM9" i="16"/>
  <c r="AM10" i="16" s="1"/>
  <c r="AN9" i="16"/>
  <c r="AN10" i="16" s="1"/>
  <c r="AL55" i="16"/>
  <c r="AO42" i="16"/>
  <c r="AL35" i="16"/>
  <c r="AL36" i="16" s="1"/>
  <c r="AL48" i="16"/>
  <c r="AL49" i="16" s="1"/>
  <c r="AM66" i="16"/>
  <c r="AM67" i="16" s="1"/>
  <c r="AK42" i="16"/>
  <c r="AM48" i="16"/>
  <c r="AM49" i="16" s="1"/>
  <c r="AK48" i="16"/>
  <c r="AK49" i="16" s="1"/>
  <c r="AN66" i="16"/>
  <c r="AN67" i="16" s="1"/>
  <c r="AN35" i="16"/>
  <c r="AN36" i="16" s="1"/>
  <c r="AL9" i="16"/>
  <c r="AL10" i="16" s="1"/>
  <c r="AL29" i="16"/>
  <c r="AL42" i="16"/>
  <c r="AK16" i="16"/>
  <c r="AM29" i="16"/>
  <c r="AO35" i="16"/>
  <c r="AO36" i="16" s="1"/>
  <c r="AM42" i="16"/>
  <c r="AL22" i="16"/>
  <c r="AL23" i="16" s="1"/>
  <c r="AN48" i="16"/>
  <c r="AN49" i="16" s="1"/>
  <c r="AL16" i="16"/>
  <c r="AN29" i="16"/>
  <c r="AK35" i="16"/>
  <c r="AK36" i="16" s="1"/>
  <c r="AN42" i="16"/>
  <c r="AN55" i="16"/>
  <c r="AO66" i="16"/>
  <c r="AO67" i="16" s="1"/>
  <c r="AO70" i="16"/>
  <c r="AM22" i="16"/>
  <c r="AM23" i="16" s="1"/>
  <c r="AN22" i="16"/>
  <c r="AN23" i="16" s="1"/>
  <c r="AM35" i="16"/>
  <c r="AM36" i="16" s="1"/>
  <c r="AK66" i="16"/>
  <c r="AK67" i="16" s="1"/>
  <c r="AM70" i="16"/>
  <c r="AL66" i="16"/>
  <c r="AL67" i="16" s="1"/>
  <c r="AN70" i="16"/>
  <c r="AK29" i="16"/>
  <c r="AO48" i="16"/>
  <c r="AO49" i="16" s="1"/>
  <c r="AM55" i="16"/>
  <c r="V9" i="16"/>
  <c r="V10" i="16" s="1"/>
  <c r="AO28" i="16"/>
  <c r="AO29" i="16" s="1"/>
  <c r="V23" i="16"/>
  <c r="G72" i="7"/>
  <c r="G81" i="7" s="1"/>
  <c r="AO9" i="16" l="1"/>
  <c r="AO10" i="16" s="1"/>
  <c r="AO16" i="16"/>
  <c r="AL72" i="7"/>
  <c r="U54" i="7" l="1"/>
  <c r="V54" i="7"/>
  <c r="V47" i="7"/>
  <c r="U47" i="7"/>
  <c r="V46" i="7"/>
  <c r="V52" i="7" s="1"/>
  <c r="U46" i="7"/>
  <c r="U52" i="7" s="1"/>
  <c r="V41" i="7"/>
  <c r="U41" i="7"/>
  <c r="V34" i="7"/>
  <c r="U34" i="7"/>
  <c r="V55" i="7" l="1"/>
  <c r="U55" i="7"/>
  <c r="V48" i="7"/>
  <c r="V49" i="7" s="1"/>
  <c r="U48" i="7"/>
  <c r="U49" i="7" s="1"/>
  <c r="W35" i="7"/>
  <c r="W36" i="7" s="1"/>
  <c r="T35" i="7"/>
  <c r="T36" i="7" s="1"/>
  <c r="V33" i="7"/>
  <c r="V39" i="7" s="1"/>
  <c r="U33" i="7"/>
  <c r="U39" i="7" s="1"/>
  <c r="U42" i="7" l="1"/>
  <c r="V42" i="7"/>
  <c r="V35" i="7"/>
  <c r="V36" i="7" s="1"/>
  <c r="U35" i="7"/>
  <c r="U36" i="7" s="1"/>
  <c r="I15" i="7" l="1"/>
  <c r="I16" i="7" s="1"/>
  <c r="AL15" i="7" l="1"/>
  <c r="AO126" i="7"/>
  <c r="AN126" i="7"/>
  <c r="AM126" i="7"/>
  <c r="AL126" i="7"/>
  <c r="AK126" i="7"/>
  <c r="AO123" i="7"/>
  <c r="AN123" i="7"/>
  <c r="AM123" i="7"/>
  <c r="AL123" i="7"/>
  <c r="AK123" i="7"/>
  <c r="AO119" i="7"/>
  <c r="AN119" i="7"/>
  <c r="AM119" i="7"/>
  <c r="AL119" i="7"/>
  <c r="AK119" i="7"/>
  <c r="AO118" i="7"/>
  <c r="AN118" i="7"/>
  <c r="AM118" i="7"/>
  <c r="AL118" i="7"/>
  <c r="AK118" i="7"/>
  <c r="AO80" i="7"/>
  <c r="AN80" i="7"/>
  <c r="AM80" i="7"/>
  <c r="AL80" i="7"/>
  <c r="AK80" i="7"/>
  <c r="AO77" i="7"/>
  <c r="AN77" i="7"/>
  <c r="AM77" i="7"/>
  <c r="AL77" i="7"/>
  <c r="AL78" i="7" s="1"/>
  <c r="AK77" i="7"/>
  <c r="AO73" i="7"/>
  <c r="AN73" i="7"/>
  <c r="AM73" i="7"/>
  <c r="AL73" i="7"/>
  <c r="AL74" i="7" s="1"/>
  <c r="AL75" i="7" s="1"/>
  <c r="AK73" i="7"/>
  <c r="AO72" i="7"/>
  <c r="AN72" i="7"/>
  <c r="AM72" i="7"/>
  <c r="AK72" i="7"/>
  <c r="AO67" i="7"/>
  <c r="AN67" i="7"/>
  <c r="AM67" i="7"/>
  <c r="AL67" i="7"/>
  <c r="AK67" i="7"/>
  <c r="AO64" i="7"/>
  <c r="AN64" i="7"/>
  <c r="AM64" i="7"/>
  <c r="AL64" i="7"/>
  <c r="AK64" i="7"/>
  <c r="AO60" i="7"/>
  <c r="AN60" i="7"/>
  <c r="AM60" i="7"/>
  <c r="AL60" i="7"/>
  <c r="AK60" i="7"/>
  <c r="AO59" i="7"/>
  <c r="AN59" i="7"/>
  <c r="AM59" i="7"/>
  <c r="AL59" i="7"/>
  <c r="AK59" i="7"/>
  <c r="AO54" i="7"/>
  <c r="AO51" i="7"/>
  <c r="AO47" i="7"/>
  <c r="AO46" i="7"/>
  <c r="AO41" i="7"/>
  <c r="AO38" i="7"/>
  <c r="AO34" i="7"/>
  <c r="AO33" i="7"/>
  <c r="AO28" i="7"/>
  <c r="AN28" i="7"/>
  <c r="AM28" i="7"/>
  <c r="AL28" i="7"/>
  <c r="AK28" i="7"/>
  <c r="AN25" i="7"/>
  <c r="AM25" i="7"/>
  <c r="AL25" i="7"/>
  <c r="AO21" i="7"/>
  <c r="AN21" i="7"/>
  <c r="AM21" i="7"/>
  <c r="AL21" i="7"/>
  <c r="AK21" i="7"/>
  <c r="AO20" i="7"/>
  <c r="AN20" i="7"/>
  <c r="AM20" i="7"/>
  <c r="AL20" i="7"/>
  <c r="AK20" i="7"/>
  <c r="AO15" i="7"/>
  <c r="AN15" i="7"/>
  <c r="AM15" i="7"/>
  <c r="AK15" i="7"/>
  <c r="AO12" i="7"/>
  <c r="AN12" i="7"/>
  <c r="AM12" i="7"/>
  <c r="AL12" i="7"/>
  <c r="AK12" i="7"/>
  <c r="AO8" i="7"/>
  <c r="AN8" i="7"/>
  <c r="AM8" i="7"/>
  <c r="AK8" i="7"/>
  <c r="AO7" i="7"/>
  <c r="AN7" i="7"/>
  <c r="AM7" i="7"/>
  <c r="AM127" i="7" l="1"/>
  <c r="AK120" i="7"/>
  <c r="AK121" i="7" s="1"/>
  <c r="AL120" i="7"/>
  <c r="AL121" i="7" s="1"/>
  <c r="AL14" i="7"/>
  <c r="AM16" i="7"/>
  <c r="AM68" i="7"/>
  <c r="AO9" i="7"/>
  <c r="AO10" i="7" s="1"/>
  <c r="AN74" i="7"/>
  <c r="AN75" i="7" s="1"/>
  <c r="AO120" i="7"/>
  <c r="AO121" i="7" s="1"/>
  <c r="AO68" i="7"/>
  <c r="AO81" i="7"/>
  <c r="AO26" i="7"/>
  <c r="AM61" i="7"/>
  <c r="AM62" i="7" s="1"/>
  <c r="AN61" i="7"/>
  <c r="AN62" i="7" s="1"/>
  <c r="AN16" i="7"/>
  <c r="AL29" i="7"/>
  <c r="AO74" i="7"/>
  <c r="AO75" i="7" s="1"/>
  <c r="AN22" i="7"/>
  <c r="AN23" i="7" s="1"/>
  <c r="AM13" i="7"/>
  <c r="AN29" i="7"/>
  <c r="AK14" i="7"/>
  <c r="AO16" i="7"/>
  <c r="AL65" i="7"/>
  <c r="AM65" i="7"/>
  <c r="AM120" i="7"/>
  <c r="AM121" i="7" s="1"/>
  <c r="AN127" i="7"/>
  <c r="AM29" i="7"/>
  <c r="AL124" i="7"/>
  <c r="AO127" i="7"/>
  <c r="AN9" i="7"/>
  <c r="AN10" i="7" s="1"/>
  <c r="AO65" i="7"/>
  <c r="AM74" i="7"/>
  <c r="AM75" i="7" s="1"/>
  <c r="AM124" i="7"/>
  <c r="AN13" i="7"/>
  <c r="AO13" i="7"/>
  <c r="AL10" i="7"/>
  <c r="AN26" i="7"/>
  <c r="AL26" i="7"/>
  <c r="AO29" i="7"/>
  <c r="AN78" i="7"/>
  <c r="AM9" i="7"/>
  <c r="AM10" i="7" s="1"/>
  <c r="AO22" i="7"/>
  <c r="AO23" i="7" s="1"/>
  <c r="AL68" i="7"/>
  <c r="AO78" i="7"/>
  <c r="AO124" i="7"/>
  <c r="AM78" i="7"/>
  <c r="AL16" i="7"/>
  <c r="AK22" i="7"/>
  <c r="AK23" i="7" s="1"/>
  <c r="AN68" i="7"/>
  <c r="AL13" i="7"/>
  <c r="AL22" i="7"/>
  <c r="AL23" i="7" s="1"/>
  <c r="AN65" i="7"/>
  <c r="AN124" i="7"/>
  <c r="AM26" i="7"/>
  <c r="AM22" i="7"/>
  <c r="AM23" i="7" s="1"/>
  <c r="AK61" i="7"/>
  <c r="AK62" i="7" s="1"/>
  <c r="AN120" i="7"/>
  <c r="AN121" i="7" s="1"/>
  <c r="AM14" i="7"/>
  <c r="AL61" i="7"/>
  <c r="AL62" i="7" s="1"/>
  <c r="AO61" i="7"/>
  <c r="AO62" i="7" s="1"/>
  <c r="AK74" i="7"/>
  <c r="AK75" i="7" s="1"/>
  <c r="AN81" i="7"/>
  <c r="AL127" i="7"/>
  <c r="AK124" i="7"/>
  <c r="AK78" i="7"/>
  <c r="AK68" i="7"/>
  <c r="AK65" i="7"/>
  <c r="AK9" i="7"/>
  <c r="AK10" i="7" s="1"/>
  <c r="AK16" i="7"/>
  <c r="AK13" i="7"/>
  <c r="AK26" i="7"/>
  <c r="AO48" i="7"/>
  <c r="AO49" i="7" s="1"/>
  <c r="AO52" i="7"/>
  <c r="AO55" i="7"/>
  <c r="AO42" i="7"/>
  <c r="AO39" i="7"/>
  <c r="AK127" i="7"/>
  <c r="AK81" i="7"/>
  <c r="AL81" i="7"/>
  <c r="AM81" i="7"/>
  <c r="AO35" i="7"/>
  <c r="AO36" i="7" s="1"/>
  <c r="AK29" i="7"/>
  <c r="U36" i="14"/>
  <c r="P33" i="14" l="1"/>
  <c r="P9" i="14"/>
  <c r="F40" i="14" l="1"/>
  <c r="F38" i="14"/>
  <c r="F33" i="14"/>
  <c r="G33" i="14"/>
  <c r="D39" i="14"/>
  <c r="D38" i="14"/>
  <c r="D33" i="14"/>
  <c r="J24" i="14" l="1"/>
  <c r="I24" i="14"/>
  <c r="H24" i="14"/>
  <c r="G24" i="14"/>
  <c r="J37" i="14"/>
  <c r="I37" i="14"/>
  <c r="H37" i="14"/>
  <c r="G37" i="14"/>
  <c r="F14" i="14"/>
  <c r="AM90" i="14" l="1"/>
  <c r="AL90" i="14"/>
  <c r="AK90" i="14"/>
  <c r="AJ90" i="14"/>
  <c r="AO94" i="14" l="1"/>
  <c r="AN94" i="14"/>
  <c r="AM94" i="14"/>
  <c r="AL94" i="14"/>
  <c r="AK94" i="14"/>
  <c r="AJ94" i="14"/>
  <c r="AM89" i="14"/>
  <c r="AL89" i="14"/>
  <c r="AK89" i="14"/>
  <c r="AJ89" i="14"/>
  <c r="AN87" i="14"/>
  <c r="AM87" i="14"/>
  <c r="AL87" i="14"/>
  <c r="AK87" i="14"/>
  <c r="AJ87" i="14"/>
  <c r="AN84" i="14"/>
  <c r="AM84" i="14"/>
  <c r="AL84" i="14"/>
  <c r="AK84" i="14"/>
  <c r="AJ84" i="14"/>
  <c r="AN82" i="14"/>
  <c r="AM82" i="14"/>
  <c r="AL82" i="14"/>
  <c r="AK82" i="14"/>
  <c r="AJ82" i="14"/>
  <c r="AN81" i="14"/>
  <c r="AM81" i="14"/>
  <c r="AL81" i="14"/>
  <c r="AK81" i="14"/>
  <c r="AJ81" i="14"/>
  <c r="AN80" i="14"/>
  <c r="AM80" i="14"/>
  <c r="AL80" i="14"/>
  <c r="AK80" i="14"/>
  <c r="AJ80" i="14"/>
  <c r="AN79" i="14"/>
  <c r="AM79" i="14"/>
  <c r="AL79" i="14"/>
  <c r="AK79" i="14"/>
  <c r="AJ79" i="14"/>
  <c r="AN78" i="14"/>
  <c r="AM78" i="14"/>
  <c r="AL78" i="14"/>
  <c r="AK78" i="14"/>
  <c r="AJ78" i="14"/>
  <c r="AN77" i="14"/>
  <c r="AM77" i="14"/>
  <c r="AL77" i="14"/>
  <c r="AK77" i="14"/>
  <c r="AJ77" i="14"/>
  <c r="AN76" i="14"/>
  <c r="AM76" i="14"/>
  <c r="AL76" i="14"/>
  <c r="AK76" i="14"/>
  <c r="AJ76" i="14"/>
  <c r="AN75" i="14"/>
  <c r="AM75" i="14"/>
  <c r="AL75" i="14"/>
  <c r="AK75" i="14"/>
  <c r="AJ75" i="14"/>
  <c r="AN74" i="14"/>
  <c r="AM74" i="14"/>
  <c r="AL74" i="14"/>
  <c r="AK74" i="14"/>
  <c r="AJ74" i="14"/>
  <c r="AN73" i="14"/>
  <c r="AM73" i="14"/>
  <c r="AL73" i="14"/>
  <c r="AK73" i="14"/>
  <c r="AJ73" i="14"/>
  <c r="AN72" i="14"/>
  <c r="AM72" i="14"/>
  <c r="AL72" i="14"/>
  <c r="AK72" i="14"/>
  <c r="AJ72" i="14"/>
  <c r="AN71" i="14"/>
  <c r="AM71" i="14"/>
  <c r="AL71" i="14"/>
  <c r="AK71" i="14"/>
  <c r="AJ71" i="14"/>
  <c r="AN66" i="14"/>
  <c r="AM66" i="14"/>
  <c r="AL66" i="14"/>
  <c r="AK66" i="14"/>
  <c r="AJ66" i="14"/>
  <c r="AN65" i="14"/>
  <c r="AM65" i="14"/>
  <c r="AL65" i="14"/>
  <c r="AK65" i="14"/>
  <c r="AJ65" i="14"/>
  <c r="AN64" i="14"/>
  <c r="AM64" i="14"/>
  <c r="AL64" i="14"/>
  <c r="AK64" i="14"/>
  <c r="AJ64" i="14"/>
  <c r="AN63" i="14"/>
  <c r="AM63" i="14"/>
  <c r="AL63" i="14"/>
  <c r="AK63" i="14"/>
  <c r="AJ63" i="14"/>
  <c r="AN62" i="14"/>
  <c r="AM62" i="14"/>
  <c r="AL62" i="14"/>
  <c r="AK62" i="14"/>
  <c r="AJ62" i="14"/>
  <c r="AN61" i="14"/>
  <c r="AM61" i="14"/>
  <c r="AL61" i="14"/>
  <c r="AK61" i="14"/>
  <c r="AJ61" i="14"/>
  <c r="AN60" i="14"/>
  <c r="AM60" i="14"/>
  <c r="AL60" i="14"/>
  <c r="AK60" i="14"/>
  <c r="AJ60" i="14"/>
  <c r="AN59" i="14"/>
  <c r="AM59" i="14"/>
  <c r="AL59" i="14"/>
  <c r="AK59" i="14"/>
  <c r="AJ59" i="14"/>
  <c r="AN58" i="14"/>
  <c r="AM58" i="14"/>
  <c r="AL58" i="14"/>
  <c r="AK58" i="14"/>
  <c r="AJ58" i="14"/>
  <c r="AN57" i="14"/>
  <c r="AM57" i="14"/>
  <c r="AL57" i="14"/>
  <c r="AK57" i="14"/>
  <c r="AJ57" i="14"/>
  <c r="AN56" i="14"/>
  <c r="AM56" i="14"/>
  <c r="AL56" i="14"/>
  <c r="AJ56" i="14"/>
  <c r="AN55" i="14"/>
  <c r="AM55" i="14"/>
  <c r="AL55" i="14"/>
  <c r="AK55" i="14"/>
  <c r="AJ55" i="14"/>
  <c r="AN54" i="14"/>
  <c r="AM54" i="14"/>
  <c r="AL54" i="14"/>
  <c r="AK54" i="14"/>
  <c r="AJ54" i="14"/>
  <c r="AN96" i="14"/>
  <c r="AM53" i="14"/>
  <c r="AL53" i="14"/>
  <c r="AK53" i="14"/>
  <c r="AK96" i="14" s="1"/>
  <c r="AJ53" i="14"/>
  <c r="AM48" i="14"/>
  <c r="AL48" i="14"/>
  <c r="AK48" i="14"/>
  <c r="AJ48" i="14"/>
  <c r="AM47" i="14"/>
  <c r="AL47" i="14"/>
  <c r="AK47" i="14"/>
  <c r="AJ47" i="14"/>
  <c r="AM42" i="14"/>
  <c r="AL42" i="14"/>
  <c r="AK42" i="14"/>
  <c r="AJ42" i="14"/>
  <c r="AM41" i="14"/>
  <c r="AL41" i="14"/>
  <c r="AK41" i="14"/>
  <c r="AJ41" i="14"/>
  <c r="AM40" i="14"/>
  <c r="AL40" i="14"/>
  <c r="AK40" i="14"/>
  <c r="AJ40" i="14"/>
  <c r="AM39" i="14"/>
  <c r="AL39" i="14"/>
  <c r="AK39" i="14"/>
  <c r="AJ39" i="14"/>
  <c r="AM38" i="14"/>
  <c r="AL38" i="14"/>
  <c r="AK38" i="14"/>
  <c r="AJ38" i="14"/>
  <c r="AM37" i="14"/>
  <c r="AL37" i="14"/>
  <c r="AK37" i="14"/>
  <c r="AJ37" i="14"/>
  <c r="AM36" i="14"/>
  <c r="AL36" i="14"/>
  <c r="AK36" i="14"/>
  <c r="AJ36" i="14"/>
  <c r="AM35" i="14"/>
  <c r="AL35" i="14"/>
  <c r="AK35" i="14"/>
  <c r="AJ35" i="14"/>
  <c r="AM34" i="14"/>
  <c r="AL34" i="14"/>
  <c r="AK34" i="14"/>
  <c r="AJ34" i="14"/>
  <c r="AM33" i="14"/>
  <c r="AL33" i="14"/>
  <c r="AK33" i="14"/>
  <c r="AJ33" i="14"/>
  <c r="AM28" i="14"/>
  <c r="AL28" i="14"/>
  <c r="AK28" i="14"/>
  <c r="AJ28" i="14"/>
  <c r="AM26" i="14"/>
  <c r="AL26" i="14"/>
  <c r="AK26" i="14"/>
  <c r="AJ26" i="14"/>
  <c r="AM25" i="14"/>
  <c r="AL25" i="14"/>
  <c r="AK25" i="14"/>
  <c r="AJ25" i="14"/>
  <c r="AM24" i="14"/>
  <c r="AL24" i="14"/>
  <c r="AK24" i="14"/>
  <c r="AJ24" i="14"/>
  <c r="AM22" i="14"/>
  <c r="AL22" i="14"/>
  <c r="AK22" i="14"/>
  <c r="AJ22" i="14"/>
  <c r="AM21" i="14"/>
  <c r="AL21" i="14"/>
  <c r="AK21" i="14"/>
  <c r="AJ21" i="14"/>
  <c r="AM20" i="14"/>
  <c r="AL20" i="14"/>
  <c r="AK20" i="14"/>
  <c r="AJ20" i="14"/>
  <c r="AM19" i="14"/>
  <c r="AL19" i="14"/>
  <c r="AK19" i="14"/>
  <c r="AJ19" i="14"/>
  <c r="AM18" i="14"/>
  <c r="AL18" i="14"/>
  <c r="AK18" i="14"/>
  <c r="AJ18" i="14"/>
  <c r="AM17" i="14"/>
  <c r="AL17" i="14"/>
  <c r="AK17" i="14"/>
  <c r="AJ17" i="14"/>
  <c r="AM16" i="14"/>
  <c r="AL16" i="14"/>
  <c r="AK16" i="14"/>
  <c r="AJ16" i="14"/>
  <c r="AM15" i="14"/>
  <c r="AL15" i="14"/>
  <c r="AK15" i="14"/>
  <c r="AJ15" i="14"/>
  <c r="AM14" i="14"/>
  <c r="AL14" i="14"/>
  <c r="AK14" i="14"/>
  <c r="AJ14" i="14"/>
  <c r="AM13" i="14"/>
  <c r="AL13" i="14"/>
  <c r="AK13" i="14"/>
  <c r="AJ13" i="14"/>
  <c r="AM12" i="14"/>
  <c r="AL12" i="14"/>
  <c r="AK12" i="14"/>
  <c r="AJ12" i="14"/>
  <c r="AM11" i="14"/>
  <c r="AL11" i="14"/>
  <c r="AK11" i="14"/>
  <c r="AJ11" i="14"/>
  <c r="AM10" i="14"/>
  <c r="AL10" i="14"/>
  <c r="AK10" i="14"/>
  <c r="AJ10" i="14"/>
  <c r="AM9" i="14"/>
  <c r="AL9" i="14"/>
  <c r="AK9" i="14"/>
  <c r="AJ9" i="14"/>
  <c r="AM8" i="14"/>
  <c r="AL8" i="14"/>
  <c r="AK8" i="14"/>
  <c r="AJ8" i="14"/>
  <c r="AM6" i="14"/>
  <c r="AL6" i="14"/>
  <c r="AK6" i="14"/>
  <c r="AJ6" i="14"/>
  <c r="Z31" i="14"/>
  <c r="Z43" i="14"/>
  <c r="Y43" i="14"/>
  <c r="Y68" i="14"/>
  <c r="Z85" i="14"/>
  <c r="Y91" i="14"/>
  <c r="Z90" i="14" s="1"/>
  <c r="Z91" i="14" s="1"/>
  <c r="AP90" i="14" s="1"/>
  <c r="AP91" i="14" s="1"/>
  <c r="AQ90" i="14" s="1"/>
  <c r="AQ91" i="14" s="1"/>
  <c r="AL97" i="14" l="1"/>
  <c r="AJ96" i="14"/>
  <c r="AM97" i="14"/>
  <c r="AJ97" i="14"/>
  <c r="AL96" i="14"/>
  <c r="AM96" i="14"/>
  <c r="AL31" i="14"/>
  <c r="AK97" i="14"/>
  <c r="AM31" i="14"/>
  <c r="Z45" i="14"/>
  <c r="AK31" i="14"/>
  <c r="AJ31" i="14"/>
  <c r="I45" i="15"/>
  <c r="J12" i="19"/>
  <c r="J29" i="19" s="1"/>
  <c r="J44" i="15" s="1"/>
  <c r="K12" i="19"/>
  <c r="K29" i="19" s="1"/>
  <c r="K44" i="15" s="1"/>
  <c r="Z50" i="14" l="1"/>
  <c r="Z95" i="14"/>
  <c r="Z99" i="14" s="1"/>
  <c r="AP11" i="19"/>
  <c r="AP15" i="19"/>
  <c r="AP16" i="19"/>
  <c r="AP17" i="19"/>
  <c r="AP29" i="19" l="1"/>
  <c r="AP30" i="19" s="1"/>
  <c r="G12" i="19"/>
  <c r="G29" i="19" s="1"/>
  <c r="G44" i="15" s="1"/>
  <c r="F12" i="19"/>
  <c r="F29" i="19" s="1"/>
  <c r="F44" i="15" s="1"/>
  <c r="G45" i="15" l="1"/>
  <c r="D45" i="15"/>
  <c r="AN28" i="19" l="1"/>
  <c r="AM28" i="19"/>
  <c r="AL28" i="19"/>
  <c r="AK28" i="19"/>
  <c r="AN19" i="19"/>
  <c r="AM19" i="19"/>
  <c r="AL19" i="19"/>
  <c r="AK19" i="19"/>
  <c r="AN18" i="19"/>
  <c r="AM18" i="19"/>
  <c r="AL18" i="19"/>
  <c r="AK18" i="19"/>
  <c r="AO17" i="19"/>
  <c r="AN17" i="19"/>
  <c r="AM17" i="19"/>
  <c r="AL17" i="19"/>
  <c r="AK17" i="19"/>
  <c r="AO16" i="19"/>
  <c r="AN16" i="19"/>
  <c r="AM16" i="19"/>
  <c r="AL16" i="19"/>
  <c r="AK16" i="19"/>
  <c r="AO15" i="19"/>
  <c r="AN15" i="19"/>
  <c r="AM15" i="19"/>
  <c r="AL15" i="19"/>
  <c r="AK15" i="19"/>
  <c r="AN12" i="19"/>
  <c r="AM12" i="19"/>
  <c r="AL12" i="19"/>
  <c r="AK12" i="19"/>
  <c r="AO11" i="19"/>
  <c r="AN11" i="19"/>
  <c r="AM11" i="19"/>
  <c r="AL11" i="19"/>
  <c r="AK11" i="19"/>
  <c r="AO10" i="19"/>
  <c r="AN10" i="19"/>
  <c r="AM10" i="19"/>
  <c r="AL10" i="19"/>
  <c r="AK10" i="19"/>
  <c r="AO9" i="19"/>
  <c r="AN9" i="19"/>
  <c r="AM9" i="19"/>
  <c r="AL9" i="19"/>
  <c r="AK9" i="19"/>
  <c r="AO7" i="19"/>
  <c r="AN7" i="19"/>
  <c r="AM7" i="19"/>
  <c r="AL7" i="19"/>
  <c r="AK7" i="19"/>
  <c r="AN43" i="15"/>
  <c r="AM43" i="15"/>
  <c r="AL43" i="15"/>
  <c r="AK43" i="15"/>
  <c r="AN38" i="15"/>
  <c r="AM38" i="15"/>
  <c r="AL38" i="15"/>
  <c r="AK38" i="15"/>
  <c r="AO35" i="15"/>
  <c r="AN35" i="15"/>
  <c r="AM35" i="15"/>
  <c r="AL35" i="15"/>
  <c r="AK35" i="15"/>
  <c r="AO34" i="15"/>
  <c r="AN34" i="15"/>
  <c r="AM34" i="15"/>
  <c r="AL34" i="15"/>
  <c r="AK34" i="15"/>
  <c r="AO28" i="15"/>
  <c r="AN28" i="15"/>
  <c r="AM28" i="15"/>
  <c r="AL28" i="15"/>
  <c r="AK28" i="15"/>
  <c r="AO27" i="15"/>
  <c r="AN27" i="15"/>
  <c r="AM27" i="15"/>
  <c r="AL27" i="15"/>
  <c r="AK27" i="15"/>
  <c r="AO23" i="15"/>
  <c r="AN23" i="15"/>
  <c r="AM23" i="15"/>
  <c r="AL23" i="15"/>
  <c r="AK23" i="15"/>
  <c r="AO20" i="15"/>
  <c r="AN20" i="15"/>
  <c r="AM20" i="15"/>
  <c r="AL20" i="15"/>
  <c r="AK20" i="15"/>
  <c r="AO19" i="15"/>
  <c r="AN19" i="15"/>
  <c r="AM19" i="15"/>
  <c r="AL19" i="15"/>
  <c r="AK19" i="15"/>
  <c r="AO14" i="15"/>
  <c r="AN14" i="15"/>
  <c r="AM14" i="15"/>
  <c r="AL14" i="15"/>
  <c r="AK14" i="15"/>
  <c r="AO13" i="15"/>
  <c r="AN13" i="15"/>
  <c r="AM13" i="15"/>
  <c r="AL13" i="15"/>
  <c r="AK13" i="15"/>
  <c r="AO12" i="15"/>
  <c r="AN12" i="15"/>
  <c r="AM12" i="15"/>
  <c r="AL12" i="15"/>
  <c r="AK12" i="15"/>
  <c r="AO11" i="15"/>
  <c r="AN11" i="15"/>
  <c r="AM11" i="15"/>
  <c r="AL11" i="15"/>
  <c r="AK11" i="15"/>
  <c r="AO8" i="15"/>
  <c r="AN8" i="15"/>
  <c r="AM8" i="15"/>
  <c r="AL8" i="15"/>
  <c r="AK8" i="15"/>
  <c r="AO7" i="15"/>
  <c r="AN7" i="15"/>
  <c r="AM7" i="15"/>
  <c r="AL7" i="15"/>
  <c r="AK7" i="15"/>
  <c r="AA15" i="15"/>
  <c r="AA9" i="15"/>
  <c r="Z36" i="15"/>
  <c r="Y6" i="14" s="1"/>
  <c r="Y31" i="14" s="1"/>
  <c r="Y45" i="14" s="1"/>
  <c r="Y95" i="14" s="1"/>
  <c r="Y99" i="14" s="1"/>
  <c r="Z29" i="15"/>
  <c r="Z21" i="15"/>
  <c r="Z15" i="15"/>
  <c r="Z9" i="15"/>
  <c r="AP35" i="15"/>
  <c r="AP34" i="15"/>
  <c r="AP27" i="15"/>
  <c r="AP29" i="15" s="1"/>
  <c r="AP23" i="15"/>
  <c r="AP20" i="15"/>
  <c r="AP19" i="15"/>
  <c r="AP14" i="15"/>
  <c r="AP13" i="15"/>
  <c r="AP12" i="15"/>
  <c r="AP11" i="15"/>
  <c r="AL29" i="19" l="1"/>
  <c r="AM29" i="19"/>
  <c r="AN29" i="19"/>
  <c r="AK29" i="19"/>
  <c r="AK44" i="15" s="1"/>
  <c r="AO29" i="19"/>
  <c r="Y50" i="14"/>
  <c r="Z17" i="15"/>
  <c r="Z25" i="15" s="1"/>
  <c r="Z31" i="15" s="1"/>
  <c r="AP15" i="15"/>
  <c r="AP21" i="15"/>
  <c r="AP36" i="15"/>
  <c r="AL29" i="15"/>
  <c r="AM36" i="15"/>
  <c r="AN9" i="15"/>
  <c r="AM21" i="15"/>
  <c r="AN29" i="15"/>
  <c r="AL36" i="15"/>
  <c r="AO36" i="15"/>
  <c r="AM15" i="15"/>
  <c r="AO9" i="15"/>
  <c r="AK29" i="15"/>
  <c r="AL21" i="15"/>
  <c r="AO21" i="15"/>
  <c r="AM29" i="15"/>
  <c r="AK9" i="15"/>
  <c r="AM9" i="15"/>
  <c r="AN36" i="15"/>
  <c r="AN21" i="15"/>
  <c r="AO29" i="15"/>
  <c r="AL9" i="15"/>
  <c r="AN15" i="15"/>
  <c r="AK15" i="15"/>
  <c r="AN30" i="19"/>
  <c r="Z30" i="19"/>
  <c r="AK36" i="15"/>
  <c r="AK21" i="15"/>
  <c r="AL15" i="15"/>
  <c r="AO15" i="15"/>
  <c r="Y29" i="15"/>
  <c r="Y21" i="15"/>
  <c r="AA17" i="15"/>
  <c r="AA25" i="15" s="1"/>
  <c r="AA31" i="15" s="1"/>
  <c r="AP8" i="15"/>
  <c r="AP7" i="15"/>
  <c r="Z42" i="15" l="1"/>
  <c r="Z45" i="15"/>
  <c r="AP9" i="15"/>
  <c r="AP17" i="15" s="1"/>
  <c r="AP25" i="15" s="1"/>
  <c r="AA30" i="15"/>
  <c r="AN17" i="15"/>
  <c r="AN25" i="15" s="1"/>
  <c r="AN31" i="15" s="1"/>
  <c r="AK45" i="15"/>
  <c r="AK42" i="15"/>
  <c r="AL17" i="15"/>
  <c r="AL25" i="15" s="1"/>
  <c r="Z30" i="15"/>
  <c r="AN44" i="15"/>
  <c r="AL44" i="15"/>
  <c r="AO44" i="15"/>
  <c r="AM30" i="19"/>
  <c r="AM44" i="15"/>
  <c r="AM17" i="15"/>
  <c r="AM25" i="15" s="1"/>
  <c r="AM31" i="15" s="1"/>
  <c r="AO17" i="15"/>
  <c r="AO25" i="15" s="1"/>
  <c r="AO31" i="15" s="1"/>
  <c r="AK17" i="15"/>
  <c r="AK25" i="15" s="1"/>
  <c r="AK31" i="15" s="1"/>
  <c r="AO30" i="19"/>
  <c r="AL30" i="19"/>
  <c r="AK30" i="19"/>
  <c r="AP30" i="15" l="1"/>
  <c r="AP31" i="15"/>
  <c r="AO30" i="15"/>
  <c r="AO45" i="15"/>
  <c r="AO42" i="15"/>
  <c r="AL31" i="15"/>
  <c r="AL30" i="15"/>
  <c r="AK30" i="15"/>
  <c r="AM45" i="15"/>
  <c r="AM42" i="15"/>
  <c r="AN45" i="15"/>
  <c r="AN42" i="15"/>
  <c r="AL45" i="15"/>
  <c r="AL42" i="15"/>
  <c r="AN30" i="15"/>
  <c r="AM30" i="15"/>
  <c r="AP8" i="7"/>
  <c r="X29" i="15" l="1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W91" i="14" l="1"/>
  <c r="V91" i="14"/>
  <c r="U91" i="14"/>
  <c r="S91" i="14"/>
  <c r="R91" i="14"/>
  <c r="Q91" i="14"/>
  <c r="P91" i="14"/>
  <c r="O91" i="14"/>
  <c r="N91" i="14"/>
  <c r="AL91" i="14" s="1"/>
  <c r="M91" i="14"/>
  <c r="L91" i="14"/>
  <c r="K91" i="14"/>
  <c r="J91" i="14"/>
  <c r="AK91" i="14" s="1"/>
  <c r="I91" i="14"/>
  <c r="H91" i="14"/>
  <c r="G91" i="14"/>
  <c r="F91" i="14"/>
  <c r="AJ91" i="14" s="1"/>
  <c r="E91" i="14"/>
  <c r="D91" i="14"/>
  <c r="C91" i="14"/>
  <c r="AN89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AO53" i="14"/>
  <c r="AO96" i="14" s="1"/>
  <c r="AN48" i="14"/>
  <c r="AN47" i="14"/>
  <c r="W43" i="14"/>
  <c r="V43" i="14"/>
  <c r="U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AN42" i="14"/>
  <c r="AN41" i="14"/>
  <c r="AN40" i="14"/>
  <c r="AN39" i="14"/>
  <c r="AN38" i="14"/>
  <c r="AN37" i="14"/>
  <c r="AN36" i="14"/>
  <c r="AN35" i="14"/>
  <c r="AN34" i="14"/>
  <c r="AN33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AN28" i="14"/>
  <c r="AN26" i="14"/>
  <c r="AN25" i="14"/>
  <c r="AN24" i="14"/>
  <c r="AN22" i="14"/>
  <c r="AN21" i="14"/>
  <c r="AN20" i="14"/>
  <c r="AN19" i="14"/>
  <c r="AN18" i="14"/>
  <c r="AN17" i="14"/>
  <c r="AN16" i="14"/>
  <c r="AN15" i="14"/>
  <c r="AN14" i="14"/>
  <c r="AN13" i="14"/>
  <c r="AN12" i="14"/>
  <c r="AN11" i="14"/>
  <c r="AN10" i="14"/>
  <c r="AN9" i="14"/>
  <c r="AN8" i="14"/>
  <c r="AP43" i="15"/>
  <c r="AM91" i="14" l="1"/>
  <c r="AN90" i="14"/>
  <c r="AN91" i="14" s="1"/>
  <c r="AN97" i="14"/>
  <c r="AO90" i="14"/>
  <c r="AO91" i="14" s="1"/>
  <c r="AO11" i="14"/>
  <c r="AO8" i="14"/>
  <c r="AO12" i="14"/>
  <c r="AO36" i="14"/>
  <c r="AO40" i="14"/>
  <c r="AO56" i="14"/>
  <c r="AO64" i="14"/>
  <c r="AO71" i="14"/>
  <c r="AO79" i="14"/>
  <c r="AO57" i="14"/>
  <c r="AO65" i="14"/>
  <c r="AO72" i="14"/>
  <c r="AO80" i="14"/>
  <c r="AO17" i="14"/>
  <c r="AO21" i="14"/>
  <c r="AO26" i="14"/>
  <c r="AO33" i="14"/>
  <c r="AO37" i="14"/>
  <c r="AO41" i="14"/>
  <c r="AO58" i="14"/>
  <c r="AO66" i="14"/>
  <c r="AO73" i="14"/>
  <c r="AO81" i="14"/>
  <c r="AO87" i="14"/>
  <c r="AO59" i="14"/>
  <c r="AO74" i="14"/>
  <c r="AO82" i="14"/>
  <c r="AO9" i="14"/>
  <c r="AO14" i="14"/>
  <c r="AO18" i="14"/>
  <c r="AO28" i="14"/>
  <c r="AO34" i="14"/>
  <c r="AO38" i="14"/>
  <c r="AO42" i="14"/>
  <c r="AO97" i="14"/>
  <c r="AO60" i="14"/>
  <c r="AO75" i="14"/>
  <c r="AO84" i="14"/>
  <c r="AO13" i="14"/>
  <c r="AO61" i="14"/>
  <c r="AO76" i="14"/>
  <c r="AO15" i="14"/>
  <c r="AO19" i="14"/>
  <c r="AO35" i="14"/>
  <c r="AO39" i="14"/>
  <c r="AO62" i="14"/>
  <c r="AO77" i="14"/>
  <c r="AO10" i="14"/>
  <c r="AO55" i="14"/>
  <c r="AO63" i="14"/>
  <c r="AO78" i="14"/>
  <c r="AJ85" i="14"/>
  <c r="AL85" i="14"/>
  <c r="AN85" i="14"/>
  <c r="AK43" i="14"/>
  <c r="AM43" i="14"/>
  <c r="AK85" i="14"/>
  <c r="AM85" i="14"/>
  <c r="AJ68" i="14"/>
  <c r="AL68" i="14"/>
  <c r="AN68" i="14"/>
  <c r="AJ43" i="14"/>
  <c r="AL43" i="14"/>
  <c r="AK68" i="14"/>
  <c r="AM68" i="14"/>
  <c r="E45" i="14"/>
  <c r="M45" i="14"/>
  <c r="J45" i="14"/>
  <c r="R45" i="14"/>
  <c r="Q45" i="14"/>
  <c r="C45" i="14"/>
  <c r="C95" i="14" s="1"/>
  <c r="C99" i="14" s="1"/>
  <c r="K45" i="14"/>
  <c r="K95" i="14" s="1"/>
  <c r="K99" i="14" s="1"/>
  <c r="I45" i="14"/>
  <c r="D45" i="14"/>
  <c r="L45" i="14"/>
  <c r="T91" i="14"/>
  <c r="F45" i="14"/>
  <c r="N45" i="14"/>
  <c r="G45" i="14"/>
  <c r="G95" i="14" s="1"/>
  <c r="G99" i="14" s="1"/>
  <c r="O45" i="14"/>
  <c r="O95" i="14" s="1"/>
  <c r="O99" i="14" s="1"/>
  <c r="T43" i="14"/>
  <c r="AN43" i="14" s="1"/>
  <c r="H45" i="14"/>
  <c r="P45" i="14"/>
  <c r="X85" i="14"/>
  <c r="N50" i="14" l="1"/>
  <c r="N95" i="14"/>
  <c r="N99" i="14" s="1"/>
  <c r="Q50" i="14"/>
  <c r="Q95" i="14"/>
  <c r="Q99" i="14" s="1"/>
  <c r="R50" i="14"/>
  <c r="R95" i="14"/>
  <c r="R99" i="14" s="1"/>
  <c r="F50" i="14"/>
  <c r="F95" i="14"/>
  <c r="F99" i="14" s="1"/>
  <c r="J50" i="14"/>
  <c r="J95" i="14"/>
  <c r="J99" i="14" s="1"/>
  <c r="M50" i="14"/>
  <c r="M95" i="14"/>
  <c r="M99" i="14" s="1"/>
  <c r="L50" i="14"/>
  <c r="L95" i="14"/>
  <c r="L99" i="14" s="1"/>
  <c r="H50" i="14"/>
  <c r="H95" i="14"/>
  <c r="H99" i="14" s="1"/>
  <c r="D50" i="14"/>
  <c r="D95" i="14"/>
  <c r="D99" i="14" s="1"/>
  <c r="E50" i="14"/>
  <c r="E95" i="14"/>
  <c r="E99" i="14" s="1"/>
  <c r="P50" i="14"/>
  <c r="P95" i="14"/>
  <c r="P99" i="14" s="1"/>
  <c r="I50" i="14"/>
  <c r="I95" i="14"/>
  <c r="I99" i="14" s="1"/>
  <c r="AO85" i="14"/>
  <c r="K50" i="14"/>
  <c r="AL45" i="14"/>
  <c r="C50" i="14"/>
  <c r="AJ45" i="14"/>
  <c r="O50" i="14"/>
  <c r="AM45" i="14"/>
  <c r="G50" i="14"/>
  <c r="AK45" i="14"/>
  <c r="X36" i="15"/>
  <c r="W6" i="14" s="1"/>
  <c r="W36" i="15"/>
  <c r="V6" i="14" s="1"/>
  <c r="V31" i="14" s="1"/>
  <c r="V45" i="14" s="1"/>
  <c r="V36" i="15"/>
  <c r="U6" i="14" s="1"/>
  <c r="U31" i="14" s="1"/>
  <c r="U45" i="14" s="1"/>
  <c r="U36" i="15"/>
  <c r="T6" i="14" s="1"/>
  <c r="T31" i="14" s="1"/>
  <c r="T45" i="14" s="1"/>
  <c r="T95" i="14" s="1"/>
  <c r="T99" i="14" s="1"/>
  <c r="T36" i="15"/>
  <c r="S6" i="14" s="1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X21" i="15"/>
  <c r="W21" i="15"/>
  <c r="V21" i="15"/>
  <c r="U21" i="15"/>
  <c r="T21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X44" i="13"/>
  <c r="X47" i="13" s="1"/>
  <c r="V44" i="13"/>
  <c r="V47" i="13" s="1"/>
  <c r="U44" i="13"/>
  <c r="U47" i="13" s="1"/>
  <c r="T44" i="13"/>
  <c r="T47" i="13" s="1"/>
  <c r="S44" i="13"/>
  <c r="S47" i="13" s="1"/>
  <c r="R44" i="13"/>
  <c r="R47" i="13" s="1"/>
  <c r="Q44" i="13"/>
  <c r="Q47" i="13" s="1"/>
  <c r="P44" i="13"/>
  <c r="P47" i="13" s="1"/>
  <c r="O44" i="13"/>
  <c r="O47" i="13" s="1"/>
  <c r="N44" i="13"/>
  <c r="N47" i="13" s="1"/>
  <c r="M44" i="13"/>
  <c r="M47" i="13" s="1"/>
  <c r="L44" i="13"/>
  <c r="L47" i="13" s="1"/>
  <c r="K44" i="13"/>
  <c r="K47" i="13" s="1"/>
  <c r="J44" i="13"/>
  <c r="J47" i="13" s="1"/>
  <c r="I44" i="13"/>
  <c r="I47" i="13" s="1"/>
  <c r="H44" i="13"/>
  <c r="H47" i="13" s="1"/>
  <c r="G44" i="13"/>
  <c r="G47" i="13" s="1"/>
  <c r="F44" i="13"/>
  <c r="F47" i="13" s="1"/>
  <c r="E44" i="13"/>
  <c r="E47" i="13" s="1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AM50" i="14" l="1"/>
  <c r="AL50" i="14"/>
  <c r="AK50" i="14"/>
  <c r="AJ50" i="14"/>
  <c r="U50" i="14"/>
  <c r="U95" i="14"/>
  <c r="U99" i="14" s="1"/>
  <c r="V50" i="14"/>
  <c r="V95" i="14"/>
  <c r="V99" i="14" s="1"/>
  <c r="W31" i="14"/>
  <c r="S31" i="14"/>
  <c r="S45" i="14" s="1"/>
  <c r="AN6" i="14"/>
  <c r="AN31" i="14" s="1"/>
  <c r="W49" i="13"/>
  <c r="K17" i="15"/>
  <c r="K25" i="15" s="1"/>
  <c r="K31" i="15" s="1"/>
  <c r="S17" i="15"/>
  <c r="S25" i="15" s="1"/>
  <c r="S31" i="15" s="1"/>
  <c r="J17" i="15"/>
  <c r="J25" i="15" s="1"/>
  <c r="J30" i="15" s="1"/>
  <c r="R17" i="15"/>
  <c r="R25" i="15" s="1"/>
  <c r="R31" i="15" s="1"/>
  <c r="I17" i="15"/>
  <c r="I25" i="15" s="1"/>
  <c r="Q17" i="15"/>
  <c r="Q25" i="15" s="1"/>
  <c r="AM95" i="14"/>
  <c r="AM99" i="14" s="1"/>
  <c r="AL95" i="14"/>
  <c r="AL99" i="14" s="1"/>
  <c r="AK95" i="14"/>
  <c r="AK99" i="14" s="1"/>
  <c r="AJ95" i="14"/>
  <c r="AJ99" i="14" s="1"/>
  <c r="T50" i="14"/>
  <c r="D17" i="15"/>
  <c r="D25" i="15" s="1"/>
  <c r="M17" i="15"/>
  <c r="M25" i="15" s="1"/>
  <c r="L17" i="15"/>
  <c r="L25" i="15" s="1"/>
  <c r="T17" i="15"/>
  <c r="T25" i="15" s="1"/>
  <c r="E17" i="15"/>
  <c r="E25" i="15" s="1"/>
  <c r="H17" i="15"/>
  <c r="H25" i="15" s="1"/>
  <c r="P17" i="15"/>
  <c r="P25" i="15" s="1"/>
  <c r="X17" i="15"/>
  <c r="X25" i="15" s="1"/>
  <c r="F17" i="15"/>
  <c r="F25" i="15" s="1"/>
  <c r="N17" i="15"/>
  <c r="N25" i="15" s="1"/>
  <c r="G17" i="15"/>
  <c r="G25" i="15" s="1"/>
  <c r="O17" i="15"/>
  <c r="O25" i="15" s="1"/>
  <c r="U17" i="15"/>
  <c r="U25" i="15" s="1"/>
  <c r="W17" i="15"/>
  <c r="W25" i="15" s="1"/>
  <c r="V17" i="15"/>
  <c r="V25" i="15" s="1"/>
  <c r="Y44" i="13"/>
  <c r="Y47" i="13" s="1"/>
  <c r="W34" i="12"/>
  <c r="S23" i="12"/>
  <c r="S32" i="12" s="1"/>
  <c r="R23" i="12"/>
  <c r="R32" i="12" s="1"/>
  <c r="Q23" i="12"/>
  <c r="Q32" i="12" s="1"/>
  <c r="P23" i="12"/>
  <c r="P32" i="12" s="1"/>
  <c r="O23" i="12"/>
  <c r="O32" i="12" s="1"/>
  <c r="N23" i="12"/>
  <c r="N32" i="12" s="1"/>
  <c r="M23" i="12"/>
  <c r="M32" i="12" s="1"/>
  <c r="L23" i="12"/>
  <c r="L32" i="12" s="1"/>
  <c r="K23" i="12"/>
  <c r="K32" i="12" s="1"/>
  <c r="J23" i="12"/>
  <c r="J32" i="12" s="1"/>
  <c r="I23" i="12"/>
  <c r="I32" i="12" s="1"/>
  <c r="H23" i="12"/>
  <c r="H32" i="12" s="1"/>
  <c r="G23" i="12"/>
  <c r="G32" i="12" s="1"/>
  <c r="F23" i="12"/>
  <c r="F32" i="12" s="1"/>
  <c r="E23" i="12"/>
  <c r="E32" i="12" s="1"/>
  <c r="D23" i="12"/>
  <c r="D32" i="12" s="1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S50" i="14" l="1"/>
  <c r="AN50" i="14" s="1"/>
  <c r="AN45" i="14"/>
  <c r="AN95" i="14" s="1"/>
  <c r="AN99" i="14" s="1"/>
  <c r="S95" i="14"/>
  <c r="S99" i="14" s="1"/>
  <c r="W45" i="14"/>
  <c r="J31" i="15"/>
  <c r="S30" i="15"/>
  <c r="K30" i="15"/>
  <c r="R30" i="15"/>
  <c r="G31" i="15"/>
  <c r="G30" i="15"/>
  <c r="L31" i="15"/>
  <c r="L30" i="15"/>
  <c r="N31" i="15"/>
  <c r="N30" i="15"/>
  <c r="M31" i="15"/>
  <c r="M30" i="15"/>
  <c r="X31" i="15"/>
  <c r="X30" i="15"/>
  <c r="T31" i="15"/>
  <c r="T30" i="15"/>
  <c r="F31" i="15"/>
  <c r="F30" i="15"/>
  <c r="V31" i="15"/>
  <c r="V30" i="15"/>
  <c r="P31" i="15"/>
  <c r="P30" i="15"/>
  <c r="O31" i="15"/>
  <c r="O30" i="15"/>
  <c r="D31" i="15"/>
  <c r="D30" i="15"/>
  <c r="W31" i="15"/>
  <c r="W30" i="15"/>
  <c r="H31" i="15"/>
  <c r="H30" i="15"/>
  <c r="Q31" i="15"/>
  <c r="Q30" i="15"/>
  <c r="U31" i="15"/>
  <c r="U30" i="15"/>
  <c r="E31" i="15"/>
  <c r="E30" i="15"/>
  <c r="I31" i="15"/>
  <c r="I30" i="15"/>
  <c r="K34" i="12"/>
  <c r="S34" i="12"/>
  <c r="D34" i="12"/>
  <c r="L34" i="12"/>
  <c r="T34" i="12"/>
  <c r="J34" i="12"/>
  <c r="R34" i="12"/>
  <c r="I34" i="12"/>
  <c r="Q34" i="12"/>
  <c r="G34" i="12"/>
  <c r="H34" i="12"/>
  <c r="P34" i="12"/>
  <c r="X34" i="12"/>
  <c r="E34" i="12"/>
  <c r="M34" i="12"/>
  <c r="U34" i="12"/>
  <c r="O34" i="12"/>
  <c r="F34" i="12"/>
  <c r="N34" i="12"/>
  <c r="V34" i="12"/>
  <c r="AP77" i="7"/>
  <c r="AP64" i="7"/>
  <c r="AP51" i="7"/>
  <c r="AP38" i="7"/>
  <c r="AP25" i="7"/>
  <c r="AP12" i="7"/>
  <c r="AP80" i="7"/>
  <c r="AP67" i="7"/>
  <c r="AP54" i="7"/>
  <c r="AP41" i="7"/>
  <c r="AP28" i="7"/>
  <c r="AP54" i="16"/>
  <c r="AP47" i="16"/>
  <c r="AP46" i="16"/>
  <c r="AP52" i="16" s="1"/>
  <c r="AP41" i="16"/>
  <c r="AP28" i="16"/>
  <c r="AP34" i="16"/>
  <c r="AP33" i="16"/>
  <c r="AP39" i="16" s="1"/>
  <c r="AP21" i="16"/>
  <c r="AP20" i="16"/>
  <c r="AP26" i="16" s="1"/>
  <c r="AP8" i="16"/>
  <c r="AP7" i="16"/>
  <c r="AP13" i="16" s="1"/>
  <c r="AP73" i="7"/>
  <c r="AP72" i="7"/>
  <c r="AP60" i="7"/>
  <c r="AP59" i="7"/>
  <c r="AP47" i="7"/>
  <c r="AP46" i="7"/>
  <c r="AP34" i="7"/>
  <c r="AP33" i="7"/>
  <c r="AP21" i="7"/>
  <c r="AP20" i="7"/>
  <c r="AP15" i="7"/>
  <c r="AP7" i="7"/>
  <c r="W95" i="14" l="1"/>
  <c r="W99" i="14" s="1"/>
  <c r="AP61" i="7"/>
  <c r="AP62" i="7" s="1"/>
  <c r="W50" i="14"/>
  <c r="AP48" i="16"/>
  <c r="AP49" i="16" s="1"/>
  <c r="AP9" i="7"/>
  <c r="AP10" i="7" s="1"/>
  <c r="AP48" i="7"/>
  <c r="AP49" i="7" s="1"/>
  <c r="AP22" i="16"/>
  <c r="AP23" i="16" s="1"/>
  <c r="AP35" i="7"/>
  <c r="AP36" i="7" s="1"/>
  <c r="AP22" i="7"/>
  <c r="AP23" i="7" s="1"/>
  <c r="AP74" i="7"/>
  <c r="AP75" i="7" s="1"/>
  <c r="AP13" i="7"/>
  <c r="AP16" i="16"/>
  <c r="AP26" i="7"/>
  <c r="AP16" i="7"/>
  <c r="AP9" i="16"/>
  <c r="AP10" i="16" s="1"/>
  <c r="AP29" i="7"/>
  <c r="AP39" i="7"/>
  <c r="AP42" i="16"/>
  <c r="AP42" i="7"/>
  <c r="AP52" i="7"/>
  <c r="AP55" i="7"/>
  <c r="AP65" i="7"/>
  <c r="AP68" i="7"/>
  <c r="AP78" i="7"/>
  <c r="AP81" i="7"/>
  <c r="AP55" i="16"/>
  <c r="AP35" i="16"/>
  <c r="AP36" i="16" s="1"/>
  <c r="AP29" i="16"/>
  <c r="X91" i="14"/>
  <c r="X43" i="14" l="1"/>
  <c r="X68" i="14"/>
  <c r="X9" i="18"/>
  <c r="W9" i="18"/>
  <c r="AO68" i="14" l="1"/>
  <c r="AO43" i="14"/>
  <c r="X12" i="18"/>
  <c r="Y9" i="18"/>
  <c r="J45" i="15"/>
  <c r="I30" i="19"/>
  <c r="G30" i="19"/>
  <c r="F45" i="15"/>
  <c r="D30" i="19"/>
  <c r="N30" i="19" l="1"/>
  <c r="N45" i="15"/>
  <c r="V45" i="15"/>
  <c r="E30" i="19"/>
  <c r="E45" i="15"/>
  <c r="O30" i="19"/>
  <c r="O45" i="15"/>
  <c r="W45" i="15"/>
  <c r="W42" i="15"/>
  <c r="R30" i="19"/>
  <c r="R45" i="15"/>
  <c r="M30" i="19"/>
  <c r="M45" i="15"/>
  <c r="H30" i="19"/>
  <c r="H45" i="15"/>
  <c r="Y12" i="18"/>
  <c r="Q30" i="19"/>
  <c r="Q45" i="15"/>
  <c r="K30" i="19"/>
  <c r="K45" i="15"/>
  <c r="S30" i="19"/>
  <c r="S45" i="15"/>
  <c r="U45" i="15"/>
  <c r="P30" i="19"/>
  <c r="P45" i="15"/>
  <c r="L30" i="19"/>
  <c r="L45" i="15"/>
  <c r="T30" i="19"/>
  <c r="T45" i="15"/>
  <c r="J30" i="19"/>
  <c r="AP44" i="15"/>
  <c r="F30" i="19"/>
  <c r="Y45" i="15" l="1"/>
  <c r="AP42" i="15"/>
  <c r="AP45" i="15"/>
  <c r="X45" i="15"/>
  <c r="Y30" i="19"/>
  <c r="Y9" i="15"/>
  <c r="Y19" i="13"/>
  <c r="Y33" i="13"/>
  <c r="Y36" i="15"/>
  <c r="X6" i="14" s="1"/>
  <c r="Y15" i="15"/>
  <c r="AO6" i="14" l="1"/>
  <c r="AO31" i="14" s="1"/>
  <c r="X31" i="14"/>
  <c r="X45" i="14" s="1"/>
  <c r="X95" i="14" s="1"/>
  <c r="X99" i="14" s="1"/>
  <c r="Y17" i="15"/>
  <c r="Y25" i="15" s="1"/>
  <c r="Y42" i="15"/>
  <c r="Y49" i="13"/>
  <c r="Y34" i="12"/>
  <c r="W70" i="16"/>
  <c r="V70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E70" i="16"/>
  <c r="D70" i="16"/>
  <c r="W67" i="16"/>
  <c r="V67" i="16"/>
  <c r="U67" i="16"/>
  <c r="T67" i="16"/>
  <c r="S66" i="16"/>
  <c r="S67" i="16" s="1"/>
  <c r="R66" i="16"/>
  <c r="R67" i="16" s="1"/>
  <c r="Q66" i="16"/>
  <c r="Q67" i="16" s="1"/>
  <c r="P66" i="16"/>
  <c r="P67" i="16" s="1"/>
  <c r="O66" i="16"/>
  <c r="O67" i="16" s="1"/>
  <c r="N66" i="16"/>
  <c r="N67" i="16" s="1"/>
  <c r="M66" i="16"/>
  <c r="M67" i="16" s="1"/>
  <c r="L66" i="16"/>
  <c r="L67" i="16" s="1"/>
  <c r="K66" i="16"/>
  <c r="K67" i="16" s="1"/>
  <c r="J66" i="16"/>
  <c r="J67" i="16" s="1"/>
  <c r="I66" i="16"/>
  <c r="I67" i="16" s="1"/>
  <c r="H66" i="16"/>
  <c r="H67" i="16" s="1"/>
  <c r="G66" i="16"/>
  <c r="G67" i="16" s="1"/>
  <c r="F66" i="16"/>
  <c r="F67" i="16" s="1"/>
  <c r="E66" i="16"/>
  <c r="E67" i="16" s="1"/>
  <c r="D66" i="16"/>
  <c r="D67" i="16" s="1"/>
  <c r="T55" i="7"/>
  <c r="T52" i="7"/>
  <c r="T49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W121" i="7"/>
  <c r="V121" i="7"/>
  <c r="U121" i="7"/>
  <c r="T121" i="7"/>
  <c r="S120" i="7"/>
  <c r="S121" i="7" s="1"/>
  <c r="R120" i="7"/>
  <c r="R121" i="7" s="1"/>
  <c r="Q120" i="7"/>
  <c r="Q121" i="7" s="1"/>
  <c r="P120" i="7"/>
  <c r="P121" i="7" s="1"/>
  <c r="O120" i="7"/>
  <c r="O121" i="7" s="1"/>
  <c r="N120" i="7"/>
  <c r="N121" i="7" s="1"/>
  <c r="M120" i="7"/>
  <c r="M121" i="7" s="1"/>
  <c r="L120" i="7"/>
  <c r="L121" i="7" s="1"/>
  <c r="K120" i="7"/>
  <c r="K121" i="7" s="1"/>
  <c r="J120" i="7"/>
  <c r="J121" i="7" s="1"/>
  <c r="I120" i="7"/>
  <c r="I121" i="7" s="1"/>
  <c r="H120" i="7"/>
  <c r="H121" i="7" s="1"/>
  <c r="G120" i="7"/>
  <c r="G121" i="7" s="1"/>
  <c r="F120" i="7"/>
  <c r="F121" i="7" s="1"/>
  <c r="E120" i="7"/>
  <c r="E121" i="7" s="1"/>
  <c r="D120" i="7"/>
  <c r="D121" i="7" s="1"/>
  <c r="AO45" i="14" l="1"/>
  <c r="AO95" i="14" s="1"/>
  <c r="AO99" i="14" s="1"/>
  <c r="X50" i="14"/>
  <c r="AO50" i="14" s="1"/>
  <c r="Y31" i="15"/>
  <c r="Y30" i="15"/>
  <c r="V9" i="18"/>
  <c r="W55" i="16"/>
  <c r="W49" i="16"/>
  <c r="W42" i="16"/>
  <c r="W36" i="16"/>
  <c r="V94" i="14"/>
  <c r="V12" i="18" l="1"/>
  <c r="W31" i="16"/>
  <c r="V55" i="16"/>
  <c r="V49" i="16"/>
  <c r="V42" i="16"/>
  <c r="V36" i="16"/>
  <c r="W70" i="7"/>
  <c r="W57" i="7"/>
  <c r="W18" i="7"/>
  <c r="V42" i="15"/>
  <c r="W35" i="13"/>
  <c r="W21" i="13"/>
  <c r="W12" i="18" l="1"/>
  <c r="U9" i="18" l="1"/>
  <c r="U55" i="16"/>
  <c r="U49" i="16"/>
  <c r="U42" i="16"/>
  <c r="U36" i="16"/>
  <c r="U42" i="15"/>
  <c r="U12" i="18" l="1"/>
  <c r="T9" i="18"/>
  <c r="T55" i="16"/>
  <c r="T49" i="16"/>
  <c r="T42" i="16"/>
  <c r="T36" i="16"/>
  <c r="T12" i="18" l="1"/>
  <c r="T42" i="15"/>
  <c r="D44" i="13" l="1"/>
  <c r="D47" i="13" s="1"/>
  <c r="S48" i="16" l="1"/>
  <c r="S49" i="16" s="1"/>
  <c r="R48" i="16"/>
  <c r="R49" i="16" s="1"/>
  <c r="Q48" i="16"/>
  <c r="Q49" i="16" s="1"/>
  <c r="P48" i="16"/>
  <c r="P49" i="16" s="1"/>
  <c r="O48" i="16"/>
  <c r="O49" i="16" s="1"/>
  <c r="N48" i="16"/>
  <c r="N49" i="16" s="1"/>
  <c r="M48" i="16"/>
  <c r="M49" i="16" s="1"/>
  <c r="L48" i="16"/>
  <c r="L49" i="16" s="1"/>
  <c r="K48" i="16"/>
  <c r="K49" i="16" s="1"/>
  <c r="J48" i="16"/>
  <c r="J49" i="16" s="1"/>
  <c r="I48" i="16"/>
  <c r="I49" i="16" s="1"/>
  <c r="H48" i="16"/>
  <c r="H49" i="16" s="1"/>
  <c r="G48" i="16"/>
  <c r="G49" i="16" s="1"/>
  <c r="F48" i="16"/>
  <c r="F49" i="16" s="1"/>
  <c r="E48" i="16"/>
  <c r="E49" i="16" s="1"/>
  <c r="D48" i="16"/>
  <c r="D49" i="16" s="1"/>
  <c r="S35" i="16"/>
  <c r="S36" i="16" s="1"/>
  <c r="R35" i="16"/>
  <c r="R36" i="16" s="1"/>
  <c r="Q35" i="16"/>
  <c r="Q36" i="16" s="1"/>
  <c r="P35" i="16"/>
  <c r="P36" i="16" s="1"/>
  <c r="O35" i="16"/>
  <c r="O36" i="16" s="1"/>
  <c r="N35" i="16"/>
  <c r="N36" i="16" s="1"/>
  <c r="M35" i="16"/>
  <c r="M36" i="16" s="1"/>
  <c r="L35" i="16"/>
  <c r="L36" i="16" s="1"/>
  <c r="K35" i="16"/>
  <c r="K36" i="16" s="1"/>
  <c r="J35" i="16"/>
  <c r="J36" i="16" s="1"/>
  <c r="I35" i="16"/>
  <c r="I36" i="16" s="1"/>
  <c r="H35" i="16"/>
  <c r="H36" i="16" s="1"/>
  <c r="G35" i="16"/>
  <c r="G36" i="16" s="1"/>
  <c r="F35" i="16"/>
  <c r="F36" i="16" s="1"/>
  <c r="E35" i="16"/>
  <c r="E36" i="16" s="1"/>
  <c r="D35" i="16"/>
  <c r="D36" i="16" s="1"/>
  <c r="H78" i="7"/>
  <c r="H65" i="7"/>
  <c r="R9" i="18" l="1"/>
  <c r="D9" i="18" l="1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12" i="18"/>
  <c r="S9" i="18"/>
  <c r="K12" i="18" l="1"/>
  <c r="P12" i="18"/>
  <c r="G12" i="18"/>
  <c r="J12" i="18"/>
  <c r="F12" i="18"/>
  <c r="S12" i="18"/>
  <c r="Q12" i="18"/>
  <c r="H12" i="18"/>
  <c r="N12" i="18"/>
  <c r="M12" i="18"/>
  <c r="E12" i="18"/>
  <c r="I12" i="18"/>
  <c r="O12" i="18"/>
  <c r="L12" i="18"/>
  <c r="D12" i="18"/>
  <c r="S42" i="16"/>
  <c r="S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55" i="16"/>
  <c r="R42" i="16"/>
  <c r="G74" i="7" l="1"/>
  <c r="G75" i="7" s="1"/>
  <c r="G61" i="7"/>
  <c r="G62" i="7" s="1"/>
  <c r="G22" i="7"/>
  <c r="G23" i="7" s="1"/>
  <c r="G9" i="7"/>
  <c r="G10" i="7" s="1"/>
  <c r="D81" i="7"/>
  <c r="D74" i="7"/>
  <c r="D75" i="7" s="1"/>
  <c r="D68" i="7"/>
  <c r="D61" i="7"/>
  <c r="D62" i="7" s="1"/>
  <c r="D22" i="7"/>
  <c r="D23" i="7" s="1"/>
  <c r="D9" i="7"/>
  <c r="D10" i="7" s="1"/>
  <c r="E74" i="7" l="1"/>
  <c r="E75" i="7" s="1"/>
  <c r="F74" i="7"/>
  <c r="F75" i="7" s="1"/>
  <c r="H74" i="7"/>
  <c r="H75" i="7" s="1"/>
  <c r="I74" i="7"/>
  <c r="I75" i="7" s="1"/>
  <c r="J74" i="7"/>
  <c r="J75" i="7" s="1"/>
  <c r="K74" i="7"/>
  <c r="K75" i="7" s="1"/>
  <c r="L74" i="7"/>
  <c r="L75" i="7" s="1"/>
  <c r="M74" i="7"/>
  <c r="M75" i="7" s="1"/>
  <c r="N74" i="7"/>
  <c r="N75" i="7" s="1"/>
  <c r="O74" i="7"/>
  <c r="O75" i="7" s="1"/>
  <c r="P74" i="7"/>
  <c r="P75" i="7" s="1"/>
  <c r="Q74" i="7"/>
  <c r="Q75" i="7" s="1"/>
  <c r="R74" i="7"/>
  <c r="R75" i="7" s="1"/>
  <c r="S74" i="7"/>
  <c r="S75" i="7" s="1"/>
  <c r="E61" i="7"/>
  <c r="E62" i="7" s="1"/>
  <c r="F61" i="7"/>
  <c r="F62" i="7" s="1"/>
  <c r="H61" i="7"/>
  <c r="H62" i="7" s="1"/>
  <c r="I61" i="7"/>
  <c r="I62" i="7" s="1"/>
  <c r="J61" i="7"/>
  <c r="J62" i="7" s="1"/>
  <c r="K61" i="7"/>
  <c r="K62" i="7" s="1"/>
  <c r="L61" i="7"/>
  <c r="L62" i="7" s="1"/>
  <c r="M61" i="7"/>
  <c r="M62" i="7" s="1"/>
  <c r="N61" i="7"/>
  <c r="N62" i="7" s="1"/>
  <c r="O61" i="7"/>
  <c r="O62" i="7" s="1"/>
  <c r="P61" i="7"/>
  <c r="P62" i="7" s="1"/>
  <c r="Q61" i="7"/>
  <c r="Q62" i="7" s="1"/>
  <c r="R61" i="7"/>
  <c r="R62" i="7" s="1"/>
  <c r="S61" i="7"/>
  <c r="S62" i="7" s="1"/>
  <c r="E9" i="7" l="1"/>
  <c r="E10" i="7" s="1"/>
  <c r="H9" i="7"/>
  <c r="H10" i="7" s="1"/>
  <c r="I9" i="7"/>
  <c r="I10" i="7" s="1"/>
  <c r="J9" i="7"/>
  <c r="J10" i="7" s="1"/>
  <c r="K9" i="7"/>
  <c r="K10" i="7" s="1"/>
  <c r="L9" i="7"/>
  <c r="L10" i="7" s="1"/>
  <c r="M9" i="7"/>
  <c r="M10" i="7" s="1"/>
  <c r="N9" i="7"/>
  <c r="N10" i="7" s="1"/>
  <c r="O9" i="7"/>
  <c r="O10" i="7" s="1"/>
  <c r="P9" i="7"/>
  <c r="P10" i="7" s="1"/>
  <c r="Q9" i="7"/>
  <c r="Q10" i="7" s="1"/>
  <c r="R9" i="7"/>
  <c r="R10" i="7" s="1"/>
  <c r="S9" i="7"/>
  <c r="S10" i="7" s="1"/>
  <c r="E22" i="7"/>
  <c r="E23" i="7" s="1"/>
  <c r="F22" i="7"/>
  <c r="F23" i="7" s="1"/>
  <c r="H22" i="7"/>
  <c r="H23" i="7" s="1"/>
  <c r="I22" i="7"/>
  <c r="I23" i="7" s="1"/>
  <c r="J22" i="7"/>
  <c r="J23" i="7" s="1"/>
  <c r="K22" i="7"/>
  <c r="K23" i="7" s="1"/>
  <c r="L22" i="7"/>
  <c r="L23" i="7" s="1"/>
  <c r="M22" i="7"/>
  <c r="M23" i="7" s="1"/>
  <c r="N22" i="7"/>
  <c r="N23" i="7" s="1"/>
  <c r="O22" i="7"/>
  <c r="O23" i="7" s="1"/>
  <c r="P22" i="7"/>
  <c r="P23" i="7" s="1"/>
  <c r="Q22" i="7"/>
  <c r="Q23" i="7" s="1"/>
  <c r="R22" i="7"/>
  <c r="R23" i="7" s="1"/>
  <c r="S22" i="7"/>
  <c r="S23" i="7" s="1"/>
  <c r="D42" i="15" l="1"/>
  <c r="E42" i="15"/>
  <c r="F42" i="15"/>
  <c r="G42" i="15"/>
  <c r="H42" i="15"/>
  <c r="J42" i="15"/>
  <c r="K42" i="15"/>
  <c r="L42" i="15"/>
  <c r="M42" i="15"/>
  <c r="N42" i="15"/>
  <c r="O42" i="15"/>
  <c r="P42" i="15"/>
  <c r="Q42" i="15"/>
  <c r="R42" i="15"/>
  <c r="S42" i="15"/>
  <c r="AD43" i="14" l="1"/>
  <c r="AP43" i="14" s="1"/>
  <c r="AE21" i="15" l="1"/>
  <c r="AE15" i="15" l="1"/>
  <c r="AE36" i="15"/>
  <c r="AE33" i="13" l="1"/>
  <c r="AE19" i="13"/>
  <c r="AE49" i="13" l="1"/>
  <c r="AE23" i="12"/>
  <c r="AE32" i="12" s="1"/>
  <c r="AE15" i="12" l="1"/>
  <c r="AE34" i="12" s="1"/>
  <c r="AE9" i="15" l="1"/>
  <c r="AE17" i="15" s="1"/>
  <c r="AE25" i="15" s="1"/>
  <c r="AE31" i="15" s="1"/>
  <c r="AE30" i="15" l="1"/>
  <c r="AD45" i="14" l="1"/>
  <c r="AP45" i="14" s="1"/>
  <c r="AP95" i="14" l="1"/>
  <c r="AP99" i="14" s="1"/>
  <c r="AD95" i="14"/>
  <c r="AD99" i="14" s="1"/>
  <c r="AD50" i="14"/>
  <c r="AP50" i="14" s="1"/>
  <c r="AE52" i="16" l="1"/>
  <c r="AQ46" i="16"/>
  <c r="AQ47" i="16"/>
  <c r="AE49" i="16"/>
  <c r="AE55" i="16" l="1"/>
  <c r="AQ54" i="16"/>
  <c r="AQ55" i="16" s="1"/>
  <c r="AQ48" i="16"/>
  <c r="AQ49" i="16" s="1"/>
  <c r="AQ52" i="16"/>
  <c r="AQ16" i="16"/>
  <c r="AQ21" i="16" l="1"/>
  <c r="AQ34" i="16"/>
  <c r="AQ28" i="16" l="1"/>
  <c r="AE39" i="16" l="1"/>
  <c r="AQ33" i="16"/>
  <c r="AQ35" i="16" s="1"/>
  <c r="AE26" i="16"/>
  <c r="AQ20" i="16"/>
  <c r="AQ29" i="16" s="1"/>
  <c r="AE36" i="16"/>
  <c r="AE23" i="16"/>
  <c r="AE42" i="16"/>
  <c r="AE29" i="16"/>
  <c r="AQ22" i="16" l="1"/>
  <c r="AQ23" i="16" s="1"/>
  <c r="AQ26" i="16"/>
  <c r="AQ36" i="16"/>
  <c r="AQ39" i="16"/>
  <c r="AQ42" i="16"/>
  <c r="AE13" i="16"/>
  <c r="AE16" i="16"/>
  <c r="AE45" i="15" l="1"/>
  <c r="AQ93" i="7" l="1"/>
  <c r="AQ99" i="7"/>
  <c r="AQ85" i="7" l="1"/>
  <c r="AE91" i="7"/>
  <c r="AE94" i="7"/>
  <c r="AQ106" i="7"/>
  <c r="AE107" i="7"/>
  <c r="AE100" i="7"/>
  <c r="AQ98" i="7"/>
  <c r="AE104" i="7"/>
  <c r="AQ86" i="7"/>
  <c r="AQ107" i="7" l="1"/>
  <c r="AQ104" i="7"/>
  <c r="AQ100" i="7"/>
  <c r="AQ101" i="7" s="1"/>
  <c r="AE101" i="7"/>
  <c r="AE87" i="7"/>
  <c r="AQ91" i="7"/>
  <c r="AQ94" i="7"/>
  <c r="AQ87" i="7" l="1"/>
  <c r="AQ88" i="7" s="1"/>
  <c r="AE88" i="7"/>
  <c r="AQ34" i="7" l="1"/>
  <c r="AE35" i="7" l="1"/>
  <c r="AQ33" i="7"/>
  <c r="AQ39" i="7" s="1"/>
  <c r="AE39" i="7"/>
  <c r="AQ41" i="7"/>
  <c r="AQ42" i="7" s="1"/>
  <c r="AE42" i="7"/>
  <c r="AQ35" i="7" l="1"/>
  <c r="AQ36" i="7" s="1"/>
  <c r="AE36" i="7"/>
  <c r="AQ8" i="7" l="1"/>
  <c r="AQ15" i="7"/>
  <c r="AE9" i="7" l="1"/>
  <c r="AQ9" i="7" s="1"/>
  <c r="AQ7" i="7"/>
  <c r="AQ13" i="7" s="1"/>
  <c r="AE13" i="7"/>
  <c r="AQ16" i="7"/>
  <c r="AE16" i="7"/>
  <c r="AQ73" i="7"/>
  <c r="AQ47" i="7"/>
  <c r="AQ60" i="7"/>
  <c r="AQ21" i="7"/>
  <c r="AQ10" i="7" l="1"/>
  <c r="AQ80" i="7"/>
  <c r="AE81" i="7"/>
  <c r="AQ54" i="7"/>
  <c r="AE55" i="7"/>
  <c r="AQ72" i="7"/>
  <c r="AQ78" i="7" s="1"/>
  <c r="AE74" i="7"/>
  <c r="AE78" i="7"/>
  <c r="AQ20" i="7"/>
  <c r="AQ26" i="7" s="1"/>
  <c r="AE22" i="7"/>
  <c r="AE26" i="7"/>
  <c r="AQ46" i="7"/>
  <c r="AQ52" i="7" s="1"/>
  <c r="AE48" i="7"/>
  <c r="AE52" i="7"/>
  <c r="AQ28" i="7"/>
  <c r="AE29" i="7"/>
  <c r="AE61" i="7"/>
  <c r="AQ59" i="7"/>
  <c r="AQ65" i="7" s="1"/>
  <c r="AE65" i="7"/>
  <c r="AQ67" i="7"/>
  <c r="AE68" i="7"/>
  <c r="AE10" i="7"/>
  <c r="AQ68" i="7" l="1"/>
  <c r="AQ22" i="7"/>
  <c r="AQ23" i="7" s="1"/>
  <c r="AE23" i="7"/>
  <c r="AQ74" i="7"/>
  <c r="AQ75" i="7" s="1"/>
  <c r="AE75" i="7"/>
  <c r="AQ48" i="7"/>
  <c r="AQ49" i="7" s="1"/>
  <c r="AE49" i="7"/>
  <c r="AQ61" i="7"/>
  <c r="AQ62" i="7" s="1"/>
  <c r="AE62" i="7"/>
  <c r="AQ55" i="7"/>
  <c r="AQ29" i="7"/>
  <c r="AQ81" i="7"/>
  <c r="AF87" i="7" l="1"/>
  <c r="AF88" i="7" l="1"/>
  <c r="AF9" i="7"/>
  <c r="AF10" i="7" l="1"/>
  <c r="AF107" i="7"/>
  <c r="AF13" i="7"/>
  <c r="AF26" i="7"/>
  <c r="AF81" i="7" l="1"/>
  <c r="AF35" i="7"/>
  <c r="AF94" i="7"/>
  <c r="AF61" i="7"/>
  <c r="AF62" i="7" l="1"/>
  <c r="AF36" i="7"/>
  <c r="AF55" i="7"/>
  <c r="AF22" i="7"/>
  <c r="AF23" i="7" l="1"/>
  <c r="AF74" i="7"/>
  <c r="AF16" i="7"/>
  <c r="AF68" i="7"/>
  <c r="AF75" i="7" l="1"/>
  <c r="AF29" i="7"/>
  <c r="AF48" i="7"/>
  <c r="AF49" i="7" l="1"/>
  <c r="AQ9" i="19"/>
  <c r="AQ29" i="19" s="1"/>
  <c r="AD29" i="19" l="1"/>
  <c r="AQ30" i="19"/>
  <c r="AQ44" i="15" l="1"/>
  <c r="AF14" i="18"/>
  <c r="AQ42" i="15" l="1"/>
  <c r="AQ45" i="15"/>
  <c r="AG14" i="18" l="1"/>
  <c r="AI30" i="19" l="1"/>
  <c r="AI14" i="18"/>
  <c r="AR9" i="19"/>
  <c r="AR29" i="19" s="1"/>
  <c r="AR30" i="19" l="1"/>
  <c r="AR44" i="15"/>
  <c r="AR45" i="15" l="1"/>
  <c r="AR42" i="15"/>
  <c r="AR8" i="7" l="1"/>
  <c r="AI9" i="7"/>
  <c r="AR86" i="7"/>
  <c r="AI87" i="7"/>
  <c r="AI10" i="7" l="1"/>
  <c r="AR9" i="7"/>
  <c r="AR10" i="7" s="1"/>
  <c r="AI88" i="7"/>
  <c r="AR87" i="7"/>
  <c r="AR88" i="7" s="1"/>
  <c r="AR21" i="7" l="1"/>
  <c r="AI22" i="7"/>
  <c r="AI61" i="7" l="1"/>
  <c r="AR60" i="7"/>
  <c r="AI23" i="7"/>
  <c r="AR22" i="7"/>
  <c r="AR23" i="7" s="1"/>
  <c r="AI48" i="7"/>
  <c r="AR47" i="7"/>
  <c r="AI74" i="7"/>
  <c r="AR73" i="7"/>
  <c r="AI75" i="7" l="1"/>
  <c r="AR74" i="7"/>
  <c r="AR75" i="7" s="1"/>
  <c r="AI35" i="7"/>
  <c r="AR34" i="7"/>
  <c r="AI62" i="7"/>
  <c r="AR61" i="7"/>
  <c r="AR62" i="7" s="1"/>
  <c r="AI49" i="7"/>
  <c r="AR48" i="7"/>
  <c r="AR49" i="7" s="1"/>
  <c r="AI36" i="7" l="1"/>
  <c r="AR35" i="7"/>
  <c r="AR36" i="7" s="1"/>
  <c r="AR25" i="7" l="1"/>
  <c r="AR26" i="7" s="1"/>
  <c r="AI26" i="7"/>
  <c r="AI42" i="7" l="1"/>
  <c r="AR41" i="7"/>
  <c r="AR42" i="7" s="1"/>
  <c r="AR28" i="7"/>
  <c r="AR29" i="7" s="1"/>
  <c r="AI29" i="7"/>
  <c r="AI68" i="7"/>
  <c r="AR67" i="7"/>
  <c r="AR68" i="7" s="1"/>
  <c r="AI81" i="7"/>
  <c r="AR80" i="7"/>
  <c r="AR81" i="7" s="1"/>
  <c r="AI107" i="7"/>
  <c r="AR106" i="7"/>
  <c r="AR107" i="7" s="1"/>
  <c r="AR93" i="7"/>
  <c r="AR94" i="7" s="1"/>
  <c r="AI94" i="7"/>
  <c r="AI52" i="7"/>
  <c r="AR51" i="7"/>
  <c r="AR52" i="7" s="1"/>
  <c r="AR12" i="7"/>
  <c r="AR13" i="7" s="1"/>
  <c r="AI13" i="7"/>
  <c r="AR15" i="7" l="1"/>
  <c r="AR16" i="7" s="1"/>
  <c r="AI16" i="7"/>
  <c r="AR54" i="7"/>
  <c r="AR55" i="7" s="1"/>
  <c r="AI55" i="7"/>
</calcChain>
</file>

<file path=xl/sharedStrings.xml><?xml version="1.0" encoding="utf-8"?>
<sst xmlns="http://schemas.openxmlformats.org/spreadsheetml/2006/main" count="1461" uniqueCount="460">
  <si>
    <t>EBIT</t>
  </si>
  <si>
    <t>EBITDA</t>
  </si>
  <si>
    <t xml:space="preserve">        </t>
  </si>
  <si>
    <t>Seara (IFRS)</t>
  </si>
  <si>
    <t>USA Beef (IFRS)</t>
  </si>
  <si>
    <t>USA Pork (IFRS)</t>
  </si>
  <si>
    <t>PPC (IFRS)</t>
  </si>
  <si>
    <t>USA Beef (US GAAP)</t>
  </si>
  <si>
    <t>USA Pork (US GAAP)</t>
  </si>
  <si>
    <t>PPC (US GAAP)</t>
  </si>
  <si>
    <t>Current Assets</t>
  </si>
  <si>
    <t>Cash and cash equivalents</t>
  </si>
  <si>
    <t>Trade accounts receivable</t>
  </si>
  <si>
    <t>Inventories</t>
  </si>
  <si>
    <t>Biological assets</t>
  </si>
  <si>
    <t>Recoverable taxes</t>
  </si>
  <si>
    <t>Derivative assets</t>
  </si>
  <si>
    <t>Related party receivables</t>
  </si>
  <si>
    <t>Other current assets</t>
  </si>
  <si>
    <t>TOTAL CURRENT ASSETS</t>
  </si>
  <si>
    <t>1Q17</t>
  </si>
  <si>
    <t>2Q17</t>
  </si>
  <si>
    <t>3Q17</t>
  </si>
  <si>
    <t>4Q17</t>
  </si>
  <si>
    <t>1Q18</t>
  </si>
  <si>
    <t>2Q18</t>
  </si>
  <si>
    <t>3Q18</t>
  </si>
  <si>
    <t>4Q18</t>
  </si>
  <si>
    <t>1Q19</t>
  </si>
  <si>
    <t>2Q19</t>
  </si>
  <si>
    <t>3Q19</t>
  </si>
  <si>
    <t>4Q19</t>
  </si>
  <si>
    <t>1Q20</t>
  </si>
  <si>
    <t>2Q20</t>
  </si>
  <si>
    <t>3Q20</t>
  </si>
  <si>
    <t>4Q20</t>
  </si>
  <si>
    <t>1Q21</t>
  </si>
  <si>
    <t>Non-Current Assets</t>
  </si>
  <si>
    <t>Deferred income taxes</t>
  </si>
  <si>
    <t>Other non-current assets</t>
  </si>
  <si>
    <t>Investments in subsidiaries and joint ventures</t>
  </si>
  <si>
    <t>Property, plant and equipment</t>
  </si>
  <si>
    <t>Right of use asset</t>
  </si>
  <si>
    <t>Intangible assets</t>
  </si>
  <si>
    <t>Goodwill</t>
  </si>
  <si>
    <t>TOTAL NON-CURRENT ASSETS</t>
  </si>
  <si>
    <t>TOTAL ASSETS</t>
  </si>
  <si>
    <t>Current Liabilities</t>
  </si>
  <si>
    <t>Trade accounts payable</t>
  </si>
  <si>
    <t>Supply chain finance</t>
  </si>
  <si>
    <t>Loans and financing</t>
  </si>
  <si>
    <t>Income taxes</t>
  </si>
  <si>
    <t>Accrued income taxes and other taxes</t>
  </si>
  <si>
    <t>Accrued payroll and social charges</t>
  </si>
  <si>
    <t>Lease liabilities</t>
  </si>
  <si>
    <t>Dividends payable</t>
  </si>
  <si>
    <t>Other financial liabilities</t>
  </si>
  <si>
    <t>Derivative liabilities</t>
  </si>
  <si>
    <t>Other current liabilities</t>
  </si>
  <si>
    <t>TOTAL CURRENT LIABILITIES</t>
  </si>
  <si>
    <t>Provisions</t>
  </si>
  <si>
    <t>Related party payables</t>
  </si>
  <si>
    <t>Other non-current liabilities</t>
  </si>
  <si>
    <t>TOTAL NON-CURRENT LIABILITIES</t>
  </si>
  <si>
    <t>Share capital - common shares</t>
  </si>
  <si>
    <t>Capital reserve</t>
  </si>
  <si>
    <t>Other reserves</t>
  </si>
  <si>
    <t>Profit reserves</t>
  </si>
  <si>
    <t>Non-Current Liabilities</t>
  </si>
  <si>
    <t>Equity</t>
  </si>
  <si>
    <t>Accumulated other comprehensive income</t>
  </si>
  <si>
    <t>Accumulated other comprehensive income (loss) related to assets held for sale</t>
  </si>
  <si>
    <t>Retained earnings</t>
  </si>
  <si>
    <t>Attributable to company shareholders</t>
  </si>
  <si>
    <t>Attributable to non-controlling interest</t>
  </si>
  <si>
    <t>TOTAL EQUITY</t>
  </si>
  <si>
    <t>TOTAL LIABILITIES AND EQUITY</t>
  </si>
  <si>
    <t>Statements of income</t>
  </si>
  <si>
    <t>NET REVENUE</t>
  </si>
  <si>
    <t>Cost of sales</t>
  </si>
  <si>
    <t>GROSS PROFIT</t>
  </si>
  <si>
    <t>General and administrative expenses</t>
  </si>
  <si>
    <t>Selling expenses</t>
  </si>
  <si>
    <t>Other expenses</t>
  </si>
  <si>
    <t>Other income</t>
  </si>
  <si>
    <t>OPERATING EXPENSES</t>
  </si>
  <si>
    <t>OPERATING PROFIT</t>
  </si>
  <si>
    <t>Finance income</t>
  </si>
  <si>
    <t>Finance expense</t>
  </si>
  <si>
    <t>Share of profit of equity-accounted investees, net of tax</t>
  </si>
  <si>
    <t>PROFIT BEFORE TAXES</t>
  </si>
  <si>
    <t xml:space="preserve">    </t>
  </si>
  <si>
    <t>Current income taxes</t>
  </si>
  <si>
    <t xml:space="preserve">NET INCOME </t>
  </si>
  <si>
    <t>ATTRIBUTABLE TO:</t>
  </si>
  <si>
    <t>Company shareholders</t>
  </si>
  <si>
    <t>Non-controlling interest</t>
  </si>
  <si>
    <t>EBITDA Margin</t>
  </si>
  <si>
    <t>Depreciation and amortization</t>
  </si>
  <si>
    <t>Net Revenue</t>
  </si>
  <si>
    <t xml:space="preserve"> </t>
  </si>
  <si>
    <t>Adjusted EBITDA</t>
  </si>
  <si>
    <t>Adjustments for:</t>
  </si>
  <si>
    <t>Extemporaneous tax credits</t>
  </si>
  <si>
    <t>Donations - Fazer o Bem Faz Bem</t>
  </si>
  <si>
    <t>Tax payable in installments</t>
  </si>
  <si>
    <t>Investigation impacts due to the leniency agreement</t>
  </si>
  <si>
    <t>Cash flow</t>
  </si>
  <si>
    <t>Net income</t>
  </si>
  <si>
    <t>Allowance for doubtful accounts</t>
  </si>
  <si>
    <t>Share of profit of equity-accounted investees</t>
  </si>
  <si>
    <t>(Gain) loss on assets sales</t>
  </si>
  <si>
    <t>Taxes expense</t>
  </si>
  <si>
    <t>Finance expense (income), net</t>
  </si>
  <si>
    <t>Share-based compensation</t>
  </si>
  <si>
    <t>(Gain) loss with the divestment program</t>
  </si>
  <si>
    <t>(Gain) loss on subsidiaries sale</t>
  </si>
  <si>
    <t>Gain for bargain purchase</t>
  </si>
  <si>
    <t>Tax installments</t>
  </si>
  <si>
    <t>Fair value (market to market) of biological assets</t>
  </si>
  <si>
    <t>SEC and DOJ agreements (Antitrust)</t>
  </si>
  <si>
    <t>Extemporaneus tax credits impacts</t>
  </si>
  <si>
    <t>Changes in assets and liabilities:</t>
  </si>
  <si>
    <t>Other current and non-current assets</t>
  </si>
  <si>
    <t>Trade accounts payable and supply chain finance</t>
  </si>
  <si>
    <t>Other current and non-current liabilities</t>
  </si>
  <si>
    <t>Payments of DOJ and Antitrust agreements</t>
  </si>
  <si>
    <t>Income taxes paid</t>
  </si>
  <si>
    <t>Changes in operating assets and liabilities</t>
  </si>
  <si>
    <t>Cash provided by (used in) operating activities</t>
  </si>
  <si>
    <t>Interest paid</t>
  </si>
  <si>
    <t>Interest received</t>
  </si>
  <si>
    <t>Cash net of interest provided by (used in) operating activities</t>
  </si>
  <si>
    <t>Cash flow from investing activities</t>
  </si>
  <si>
    <t>Purchases of property, plant and equipment</t>
  </si>
  <si>
    <t>Purchases of intangible assets</t>
  </si>
  <si>
    <t>Proceeds from sale of property, plant and equipment</t>
  </si>
  <si>
    <t>Proceeds from intangible assets</t>
  </si>
  <si>
    <t>Additional investments in joint-ventures and subsidiaries</t>
  </si>
  <si>
    <t>Acquisitions, net of cash acquired</t>
  </si>
  <si>
    <t>Assets held for sale, net of cash</t>
  </si>
  <si>
    <t>Dividends received</t>
  </si>
  <si>
    <t>Proceeds from the divestment program</t>
  </si>
  <si>
    <t>Proceeds from the divestment program (Mercosul)</t>
  </si>
  <si>
    <t>Proceeds from Moy Park transference to PPC</t>
  </si>
  <si>
    <t>Related party transactions</t>
  </si>
  <si>
    <t>Other</t>
  </si>
  <si>
    <t>Cash provided by (used in) investing activities</t>
  </si>
  <si>
    <t>Cash flow from financing activities</t>
  </si>
  <si>
    <t>Proceeds from loans and financings</t>
  </si>
  <si>
    <t>Payments of loans and financings</t>
  </si>
  <si>
    <t>Derivatives instruments received/settled</t>
  </si>
  <si>
    <t>Dividends Payment</t>
  </si>
  <si>
    <t>Dividends paid to non-controlling interest</t>
  </si>
  <si>
    <t>PPC share repurchase</t>
  </si>
  <si>
    <t>Capital contribution PPC Mexico to non-controlling interest</t>
  </si>
  <si>
    <t>PPC treasury shares sale</t>
  </si>
  <si>
    <t>Purchase of treasury shares</t>
  </si>
  <si>
    <t>Payments of lease</t>
  </si>
  <si>
    <t>Others</t>
  </si>
  <si>
    <t>Cash used in financing activities</t>
  </si>
  <si>
    <t>Effect of exchange rate changes on cash and cash equivalents</t>
  </si>
  <si>
    <t>Net change in cash and cash equivalents</t>
  </si>
  <si>
    <t>Cash and cash equivalents at the beggining of period</t>
  </si>
  <si>
    <t>Cash and cash equivalents at the end of period</t>
  </si>
  <si>
    <t>Cash Flow from operating activities</t>
  </si>
  <si>
    <t>Net Interest</t>
  </si>
  <si>
    <t>Free Cash Flow</t>
  </si>
  <si>
    <t>Cost of Goods Sold</t>
  </si>
  <si>
    <t>Gross Margin</t>
  </si>
  <si>
    <t>EBIT Margin</t>
  </si>
  <si>
    <t>In millions of Brazilian Reais - R$</t>
  </si>
  <si>
    <t>JBS Brazil (IFRS)</t>
  </si>
  <si>
    <t>In millions of U.S. dollars</t>
  </si>
  <si>
    <t>Indebtedness</t>
  </si>
  <si>
    <t>Short Term</t>
  </si>
  <si>
    <t>Long Term</t>
  </si>
  <si>
    <t>Gross Debt</t>
  </si>
  <si>
    <t>Cash and Equivalents</t>
  </si>
  <si>
    <t>Net Debt</t>
  </si>
  <si>
    <t>Leverage in Brazilian Reais</t>
  </si>
  <si>
    <t>Leverage in U.S. dollars</t>
  </si>
  <si>
    <t>SEC, DOJ and Antitrust agreements</t>
  </si>
  <si>
    <t>2Q21</t>
  </si>
  <si>
    <t>Margin Cash</t>
  </si>
  <si>
    <t>Fund for the Amazon</t>
  </si>
  <si>
    <t>Disposal of treasury shares</t>
  </si>
  <si>
    <t>3Q21</t>
  </si>
  <si>
    <t>4Q21</t>
  </si>
  <si>
    <t>1Q22</t>
  </si>
  <si>
    <t>JBS Beef North America (IFRS)</t>
  </si>
  <si>
    <t>JBS Australia (IFRS)</t>
  </si>
  <si>
    <t>JBS Beef North America (US GAAP)</t>
  </si>
  <si>
    <t>JBS Australia (US GAAP)</t>
  </si>
  <si>
    <t>As of 1Q22, we will report the JBS Beef North America without JBS Australia, which will be reported separately.</t>
  </si>
  <si>
    <t>Ativo Circulante</t>
  </si>
  <si>
    <t>Caixa e equivalentes de caixa</t>
  </si>
  <si>
    <t>Caixa Margem</t>
  </si>
  <si>
    <t>Contas a receber de clientes</t>
  </si>
  <si>
    <t>Estoques</t>
  </si>
  <si>
    <t>Ativos biológicos</t>
  </si>
  <si>
    <t>Impostos a recuperar</t>
  </si>
  <si>
    <t>Derivativos a receber</t>
  </si>
  <si>
    <t>Outros ativos circulantes</t>
  </si>
  <si>
    <t>TOTAL DO ATIVO CIRCULANTE</t>
  </si>
  <si>
    <t>Ativo Não-Circulante</t>
  </si>
  <si>
    <t>Créditos com empresas ligadas</t>
  </si>
  <si>
    <t>Imposto de renda e contribuição social diferidos</t>
  </si>
  <si>
    <t>Outros ativos não circulantes</t>
  </si>
  <si>
    <t>Imobilizado</t>
  </si>
  <si>
    <t>Direito de uso de arrendamentos</t>
  </si>
  <si>
    <t>Intangível</t>
  </si>
  <si>
    <t>Ágio</t>
  </si>
  <si>
    <t>TOTAL DO NÃO CIRCULANTE</t>
  </si>
  <si>
    <t>TOTAL DO ATIVO</t>
  </si>
  <si>
    <t>Passivo Circulante</t>
  </si>
  <si>
    <t>Fornecedores risco sacado</t>
  </si>
  <si>
    <t>Imposto de renda e contribuição social a pagar</t>
  </si>
  <si>
    <t>Arrendamentos a pagar</t>
  </si>
  <si>
    <t>Provisão para riscos processuais</t>
  </si>
  <si>
    <t>Derivativos a pagar</t>
  </si>
  <si>
    <t>TOTAL DO CIRCULANTE</t>
  </si>
  <si>
    <t>Passivo Não Circulante</t>
  </si>
  <si>
    <t>Débito com empresas ligadas</t>
  </si>
  <si>
    <t>Patrimônio Líquido</t>
  </si>
  <si>
    <t>Outros resultados abrangentes relacionados a ativos mantidos para venda</t>
  </si>
  <si>
    <t>Lucros acumulados</t>
  </si>
  <si>
    <t>TOTAL DO PATRIMÔNIO LÍQUIDO</t>
  </si>
  <si>
    <t>TOTAL DO PASSIVO E PATRIMÔNIO LÍQUIDO</t>
  </si>
  <si>
    <t>Receita Líquida</t>
  </si>
  <si>
    <t>Ajustes por:</t>
  </si>
  <si>
    <t>Parcelamentos fiscais, trabalhistas e sociais</t>
  </si>
  <si>
    <t>Impacto débitos e créditos tributários extemporâneos</t>
  </si>
  <si>
    <t>Acordos SEC, DoJ e antitruste</t>
  </si>
  <si>
    <t>Doações e programas sociais</t>
  </si>
  <si>
    <t>Fundo Amazônia</t>
  </si>
  <si>
    <t>EBITDA Ajustado</t>
  </si>
  <si>
    <t>Margem EBITDA</t>
  </si>
  <si>
    <t>Demonstração do Resultado do Exercício</t>
  </si>
  <si>
    <t>RECEITA LÍQUIDA</t>
  </si>
  <si>
    <t xml:space="preserve">Custo dos produtos vendidos     </t>
  </si>
  <si>
    <t xml:space="preserve">LUCRO BRUTO       </t>
  </si>
  <si>
    <t>Outras despesas</t>
  </si>
  <si>
    <t>Outras receitas</t>
  </si>
  <si>
    <t>LUCRO LÍQUIDO (PREJUÍZO)</t>
  </si>
  <si>
    <t xml:space="preserve">ATRIBUÍDO A:       </t>
  </si>
  <si>
    <t>Depreciação e amortização</t>
  </si>
  <si>
    <t>Fluxo de caixa</t>
  </si>
  <si>
    <t>Lucro líquido</t>
  </si>
  <si>
    <t>Resultado de equivalência patrimonial</t>
  </si>
  <si>
    <t>Imposto de renda e contribuição social</t>
  </si>
  <si>
    <t>Resultado com programa de desinvestimentos</t>
  </si>
  <si>
    <t>Resultado na venda de controladas</t>
  </si>
  <si>
    <t>Ganho por compra vantajosa</t>
  </si>
  <si>
    <t>Provisão referente a parcelamentos</t>
  </si>
  <si>
    <t>Fair value (marcação a mercado) dos ativos biológicos</t>
  </si>
  <si>
    <t>Acordos Antitruste</t>
  </si>
  <si>
    <t>Impactos tributários extemporâneos</t>
  </si>
  <si>
    <t>Impactos da atualização da investigação no âmbito do acordo de leniência</t>
  </si>
  <si>
    <t>Variação em:</t>
  </si>
  <si>
    <t xml:space="preserve">Variações em ativos e passivos operacionais   </t>
  </si>
  <si>
    <t>Caixa líquido de juros gerado pelas (aplicado nas) atividades operacionais</t>
  </si>
  <si>
    <t xml:space="preserve">Fluxo de caixa das atividades de investimentos  </t>
  </si>
  <si>
    <t>Adição de ativo intangível</t>
  </si>
  <si>
    <t>Recebimento na venda de ativo imobilizado</t>
  </si>
  <si>
    <t>Baixa de intangível</t>
  </si>
  <si>
    <t>Adições nos investimentos em joint-ventures e controladas</t>
  </si>
  <si>
    <t>Aquisição de controladas, líquido do caixa obtido na aquisição</t>
  </si>
  <si>
    <t>Ajuste de capital de giro de empresa adquirida</t>
  </si>
  <si>
    <t>Recebimento de dividendos</t>
  </si>
  <si>
    <t>Recebimento alienação de investimentos Mercosul</t>
  </si>
  <si>
    <t>Recebimento pela transferencia da Moy Park</t>
  </si>
  <si>
    <t>Transações com partes relacionadas</t>
  </si>
  <si>
    <t>Outros</t>
  </si>
  <si>
    <t xml:space="preserve">Caixa aplicado nas atividades de investimentos  </t>
  </si>
  <si>
    <t xml:space="preserve">Fluxo de caixa das atividades de financiamentos  </t>
  </si>
  <si>
    <t>Pagamentos de dividendos não-controladores</t>
  </si>
  <si>
    <t>Aquisição de ações em tesouraria PPC</t>
  </si>
  <si>
    <t>Contribuição da PPC Mexico de não controladores</t>
  </si>
  <si>
    <t>Alienação de ações em tesouraria PPC</t>
  </si>
  <si>
    <t>Aquisição de ações de emissão própria</t>
  </si>
  <si>
    <t>Alienação de ações de emissão própria</t>
  </si>
  <si>
    <t>Caixa líquido aplicado nas atividades de financiamentos</t>
  </si>
  <si>
    <t>Variação cambial sobre caixa e equivalentes</t>
  </si>
  <si>
    <t>Caixa e equivalentes de caixa final</t>
  </si>
  <si>
    <t>Fluxo de Caixa Operacional</t>
  </si>
  <si>
    <t>Adição de ativo imobilizado</t>
  </si>
  <si>
    <t>Juros pagos e recebidos</t>
  </si>
  <si>
    <t>Fluxo de Caixa Livre</t>
  </si>
  <si>
    <t>(Em milhões de reais)</t>
  </si>
  <si>
    <t>Margem Bruta</t>
  </si>
  <si>
    <t>Margem EBIT</t>
  </si>
  <si>
    <t>JBS Brasil (IFRS)</t>
  </si>
  <si>
    <t>(Em milhões de dólares)</t>
  </si>
  <si>
    <t>Endividamento</t>
  </si>
  <si>
    <t>Curto prazo</t>
  </si>
  <si>
    <t>Longo prazo</t>
  </si>
  <si>
    <t>Dívida Bruta</t>
  </si>
  <si>
    <t>Caixa e equivalentes</t>
  </si>
  <si>
    <t>Dívida Líquida</t>
  </si>
  <si>
    <t>Alavancagem em reais</t>
  </si>
  <si>
    <t>Alavancagem em dólares</t>
  </si>
  <si>
    <t>2Q22</t>
  </si>
  <si>
    <t>Fornecedores</t>
  </si>
  <si>
    <t>Empréstimos e financiamentos</t>
  </si>
  <si>
    <t>Obrigações fiscais</t>
  </si>
  <si>
    <t>Obrigações trabalhistas e sociais</t>
  </si>
  <si>
    <t>Dividendos declarados</t>
  </si>
  <si>
    <t>Compromissos com terceiros para investimentos</t>
  </si>
  <si>
    <t>Outros passivos circulantes</t>
  </si>
  <si>
    <t>Outros passivos não circulantes</t>
  </si>
  <si>
    <t>Capital social</t>
  </si>
  <si>
    <t>Reservas de capital</t>
  </si>
  <si>
    <t>Reserva de reavaliação</t>
  </si>
  <si>
    <t>Reserva de lucros</t>
  </si>
  <si>
    <t>Outros resultados abrangentes</t>
  </si>
  <si>
    <t>Atribuído à participação dos controladores</t>
  </si>
  <si>
    <t>Participação dos não controladores</t>
  </si>
  <si>
    <t>Custo dos produtos vendidos</t>
  </si>
  <si>
    <t>LUCRO BRUTO</t>
  </si>
  <si>
    <t>Administrativas e gerais</t>
  </si>
  <si>
    <t>Com vendas</t>
  </si>
  <si>
    <t>DESPESAS OPERACIONAIS</t>
  </si>
  <si>
    <t>RESULTADO OPERACIONAL</t>
  </si>
  <si>
    <t>Receita financeira</t>
  </si>
  <si>
    <t>Despesa financeira</t>
  </si>
  <si>
    <t>Imposto de renda e contribuição social corrente</t>
  </si>
  <si>
    <t>Participação dos controladores</t>
  </si>
  <si>
    <t>Perda esperada com crédito de liquidação duvidosa</t>
  </si>
  <si>
    <t>Resultado na venda de imobilizado</t>
  </si>
  <si>
    <t>Resultado financeiro líquido</t>
  </si>
  <si>
    <t>Plano de opções de ações</t>
  </si>
  <si>
    <t>Contas a receber</t>
  </si>
  <si>
    <t>Outros ativos circulantes e não circulantes</t>
  </si>
  <si>
    <t>Fornecedores e fornecedores de risco sacado</t>
  </si>
  <si>
    <t>Outros passivos circulantes e não circulantes</t>
  </si>
  <si>
    <t>Pagamento de Acordos antitruste</t>
  </si>
  <si>
    <t>Imposto de renda e contribuição social pagos</t>
  </si>
  <si>
    <t>Juros pagos</t>
  </si>
  <si>
    <t>Juros recebidos</t>
  </si>
  <si>
    <t>Variação líquida</t>
  </si>
  <si>
    <t>Caixa e equivalentes de caixa no início do período</t>
  </si>
  <si>
    <t>Adições de ativo imobilizado</t>
  </si>
  <si>
    <t>Caixa líquido de ativos disponíveis para venda</t>
  </si>
  <si>
    <t>Recebimentos referente ao programa de desinvestimento</t>
  </si>
  <si>
    <t>Empréstimos e financiamentos captados</t>
  </si>
  <si>
    <t>Pagamentos de empréstimos e financiamentos</t>
  </si>
  <si>
    <t>Derivativos recebidos (pagos)</t>
  </si>
  <si>
    <t>Pagamentos de dividendos</t>
  </si>
  <si>
    <t>Pagamentos de arrendamentos</t>
  </si>
  <si>
    <t>In million of Brazilian Reais - R$</t>
  </si>
  <si>
    <t>EPS - common shares (R$)</t>
  </si>
  <si>
    <t>LUCRO ANTES DOS IMPOSTOS</t>
  </si>
  <si>
    <t>Caixa gerado (aplicado) pelas  atividades operacionais</t>
  </si>
  <si>
    <t>3Q22</t>
  </si>
  <si>
    <t>4Q22</t>
  </si>
  <si>
    <t>Outras receitas / despesas operacionais¹</t>
  </si>
  <si>
    <t>2017</t>
  </si>
  <si>
    <t>2018</t>
  </si>
  <si>
    <t>2019</t>
  </si>
  <si>
    <t>2020</t>
  </si>
  <si>
    <t>2021</t>
  </si>
  <si>
    <t>2022</t>
  </si>
  <si>
    <t>Effective rate</t>
  </si>
  <si>
    <t>Alíquota efetiva</t>
  </si>
  <si>
    <t>Lucro por ação ordinária (R$)</t>
  </si>
  <si>
    <t xml:space="preserve">Caixa e equivalentes de caixa </t>
  </si>
  <si>
    <t>Caixa margem</t>
  </si>
  <si>
    <t xml:space="preserve">Contas a receber de clientes </t>
  </si>
  <si>
    <t xml:space="preserve">Estoques </t>
  </si>
  <si>
    <t xml:space="preserve">Ativos biológicos </t>
  </si>
  <si>
    <t xml:space="preserve">Impostos a recuperar </t>
  </si>
  <si>
    <t xml:space="preserve">Créditos com empresas ligadas </t>
  </si>
  <si>
    <t>Investimentos controladas, joint ventures e coligadas</t>
  </si>
  <si>
    <t xml:space="preserve">Imobilizado </t>
  </si>
  <si>
    <t xml:space="preserve">Intangível </t>
  </si>
  <si>
    <t xml:space="preserve">Fornecedores </t>
  </si>
  <si>
    <t xml:space="preserve">Fornecedores risco sacado </t>
  </si>
  <si>
    <t xml:space="preserve">Empréstimos e financiamentos </t>
  </si>
  <si>
    <t xml:space="preserve">Obrigações trabalhistas e sociais </t>
  </si>
  <si>
    <t xml:space="preserve">Provisão para riscos processuais </t>
  </si>
  <si>
    <t xml:space="preserve">Imposto de renda e contribuição social diferidos </t>
  </si>
  <si>
    <t>Reservas de lucros</t>
  </si>
  <si>
    <t xml:space="preserve">Custo dos produtos vendidos </t>
  </si>
  <si>
    <t xml:space="preserve">Com vendas </t>
  </si>
  <si>
    <t>Receitas financeiras</t>
  </si>
  <si>
    <t>Despesas financeiras</t>
  </si>
  <si>
    <t xml:space="preserve">Resultado de equivalência patrimonial </t>
  </si>
  <si>
    <t>LUCRO LÍQUIDO</t>
  </si>
  <si>
    <t>Resultado por ação ordinária (básica e diluído) - em reais</t>
  </si>
  <si>
    <t xml:space="preserve">RECEITA LÍQUIDA </t>
  </si>
  <si>
    <t>Indenização J&amp;F</t>
  </si>
  <si>
    <t>Perdas estimadas para valor realizável dos estoques</t>
  </si>
  <si>
    <t>1Q23</t>
  </si>
  <si>
    <t>Prejuízos acumulados</t>
  </si>
  <si>
    <t>Impairment ativos Planterra</t>
  </si>
  <si>
    <t>Indenização seguro PPC</t>
  </si>
  <si>
    <t>Reestruturação PPC Europa</t>
  </si>
  <si>
    <t>2Q23</t>
  </si>
  <si>
    <t>n.m.</t>
  </si>
  <si>
    <t>2T23</t>
  </si>
  <si>
    <t>1T17</t>
  </si>
  <si>
    <t>2T17</t>
  </si>
  <si>
    <t>3T17</t>
  </si>
  <si>
    <t>4T17</t>
  </si>
  <si>
    <t>1T18</t>
  </si>
  <si>
    <t>2T18</t>
  </si>
  <si>
    <t>3T18</t>
  </si>
  <si>
    <t>4T18</t>
  </si>
  <si>
    <t>1T19</t>
  </si>
  <si>
    <t>2T19</t>
  </si>
  <si>
    <t>3T19</t>
  </si>
  <si>
    <t>4T19</t>
  </si>
  <si>
    <t>1T20</t>
  </si>
  <si>
    <t>2T20</t>
  </si>
  <si>
    <t>3T20</t>
  </si>
  <si>
    <t>4T20</t>
  </si>
  <si>
    <t>1T21</t>
  </si>
  <si>
    <t>2T21</t>
  </si>
  <si>
    <t>3T21</t>
  </si>
  <si>
    <t>1T22</t>
  </si>
  <si>
    <t>2T22</t>
  </si>
  <si>
    <t>3T22</t>
  </si>
  <si>
    <t>4T22</t>
  </si>
  <si>
    <t>1T23</t>
  </si>
  <si>
    <t>4T21</t>
  </si>
  <si>
    <t>Eliminações (IFRS)</t>
  </si>
  <si>
    <t>Outros (IFRS)</t>
  </si>
  <si>
    <t>3Q23</t>
  </si>
  <si>
    <t>3T23</t>
  </si>
  <si>
    <t>Eliminations (IFRS)</t>
  </si>
  <si>
    <t>Others (IFRS)</t>
  </si>
  <si>
    <t>Accumulated Losses</t>
  </si>
  <si>
    <t>Impacto da greve dos caminhoneiros</t>
  </si>
  <si>
    <t>Truck drivers' strike impact</t>
  </si>
  <si>
    <t>4Q23</t>
  </si>
  <si>
    <t>Reestruturação</t>
  </si>
  <si>
    <t>Impairment de Ativos</t>
  </si>
  <si>
    <t>1Q24</t>
  </si>
  <si>
    <t>2Q24</t>
  </si>
  <si>
    <t>Sinistro Rio Grande do Sul</t>
  </si>
  <si>
    <t>Pagamento e parcelamentos fiscais</t>
  </si>
  <si>
    <t>3Q24</t>
  </si>
  <si>
    <t>4Q24</t>
  </si>
  <si>
    <t>Litígio extemporâneo</t>
  </si>
  <si>
    <t>Estorno de créditos tributários</t>
  </si>
  <si>
    <t>Estorno extemporâneo de créditos tributários</t>
  </si>
  <si>
    <t>Aquisição de ações em tesouraria Diamont Valley Pork</t>
  </si>
  <si>
    <t>Litígio extemporãneo</t>
  </si>
  <si>
    <t>Rio Grande do Sul Floods</t>
  </si>
  <si>
    <t>Fiscal payments and installments</t>
  </si>
  <si>
    <t>Asset Impairment</t>
  </si>
  <si>
    <t>Reestructuring</t>
  </si>
  <si>
    <t>Other income / expenses</t>
  </si>
  <si>
    <t>Extemporaneous litigation</t>
  </si>
  <si>
    <t>Reversal of tax credits</t>
  </si>
  <si>
    <t>Net realizable value inventory adjustments</t>
  </si>
  <si>
    <t>Net indemnity J&amp;F</t>
  </si>
  <si>
    <t>Indenização líquida da J&amp;F</t>
  </si>
  <si>
    <t>Purchase of Diamond Pork treasury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</si>
</sst>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(* #,##0_);_(* \(#,##0\);_(* &quot;-&quot;??_);_(@_)"/>
    <numFmt numFmtId="165" formatCode="0.0%"/>
    <numFmt numFmtId="166" formatCode="0.00&quot;x&quot;"/>
    <numFmt numFmtId="167" formatCode="_(* #,##0.0_);_(* \(#,##0.0\);_(* &quot;-&quot;??_);_(@_)"/>
    <numFmt numFmtId="168" formatCode="_-* #,##0.0_-;\-* #,##0.0_-;_-* &quot;-&quot;?_-;_-@_-"/>
    <numFmt numFmtId="169" formatCode="_-* #,##0_-;\-* #,##0_-;_-* &quot;-&quot;??_-;_-@_-"/>
    <numFmt numFmtId="170" formatCode="0.0"/>
    <numFmt numFmtId="171" formatCode="#,##0.00000_);\(#,##0.00000\)"/>
    <numFmt numFmtId="172" formatCode="_-* #,##0.0_-;\-* #,##0.0_-;_-* &quot;-&quot;??_-;_-@_-"/>
    <numFmt numFmtId="173" formatCode="_(* #,##0.0000_);_(* \(#,##0.0000\);_(* &quot;-&quot;??_);_(@_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Segoe UI Black"/>
      <family val="2"/>
    </font>
    <font>
      <sz val="11"/>
      <color theme="1"/>
      <name val="Segoe UI Black"/>
      <family val="2"/>
    </font>
    <font>
      <b/>
      <sz val="11"/>
      <color theme="0"/>
      <name val="Segoe UI Black"/>
      <family val="2"/>
    </font>
    <font>
      <sz val="11"/>
      <color theme="1"/>
      <name val="Segoe UI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Segoe UI"/>
      <family val="2"/>
    </font>
    <font>
      <b/>
      <sz val="11"/>
      <name val="Segoe UI Black"/>
      <family val="2"/>
    </font>
    <font>
      <sz val="11"/>
      <name val="Segoe UI"/>
      <family val="2"/>
    </font>
    <font>
      <b/>
      <sz val="18"/>
      <color theme="0"/>
      <name val="Segoe UI Black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Segoe UI Black"/>
      <family val="2"/>
    </font>
    <font>
      <b/>
      <sz val="11"/>
      <color rgb="FFFF0000"/>
      <name val="Segoe UI Black"/>
      <family val="2"/>
    </font>
    <font>
      <i/>
      <sz val="11"/>
      <color theme="1"/>
      <name val="Segoe UI"/>
      <family val="2"/>
    </font>
    <font>
      <sz val="11"/>
      <color theme="0" tint="-0.34998626667073579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entury Gothic"/>
      <family val="2"/>
    </font>
    <font>
      <sz val="11"/>
      <color rgb="FFFF0000"/>
      <name val="Segoe UI"/>
      <family val="2"/>
    </font>
    <font>
      <sz val="11"/>
      <name val="Century Gothic"/>
      <family val="2"/>
    </font>
    <font>
      <b/>
      <sz val="11"/>
      <color theme="1"/>
      <name val="Calibri"/>
      <family val="2"/>
      <scheme val="minor"/>
    </font>
    <font>
      <i/>
      <sz val="8"/>
      <color theme="1"/>
      <name val="Century Gothic"/>
      <family val="2"/>
    </font>
    <font>
      <sz val="11"/>
      <color theme="1" tint="0.249977111117893"/>
      <name val="JBS Text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double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/>
    <xf numFmtId="0" fontId="14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3" fontId="4" fillId="0" borderId="0" xfId="0" applyNumberFormat="1" applyFont="1"/>
    <xf numFmtId="0" fontId="4" fillId="0" borderId="0" xfId="0" applyFont="1"/>
    <xf numFmtId="0" fontId="5" fillId="2" borderId="10" xfId="0" applyFont="1" applyFill="1" applyBorder="1"/>
    <xf numFmtId="0" fontId="5" fillId="2" borderId="9" xfId="0" applyFont="1" applyFill="1" applyBorder="1"/>
    <xf numFmtId="0" fontId="5" fillId="2" borderId="9" xfId="0" applyFont="1" applyFill="1" applyBorder="1" applyAlignment="1">
      <alignment horizontal="center"/>
    </xf>
    <xf numFmtId="164" fontId="5" fillId="2" borderId="9" xfId="0" applyNumberFormat="1" applyFont="1" applyFill="1" applyBorder="1" applyAlignment="1">
      <alignment horizontal="center"/>
    </xf>
    <xf numFmtId="0" fontId="6" fillId="0" borderId="0" xfId="0" applyFont="1"/>
    <xf numFmtId="164" fontId="6" fillId="0" borderId="0" xfId="0" applyNumberFormat="1" applyFont="1"/>
    <xf numFmtId="3" fontId="0" fillId="0" borderId="0" xfId="0" applyNumberFormat="1"/>
    <xf numFmtId="0" fontId="7" fillId="0" borderId="0" xfId="0" applyFont="1"/>
    <xf numFmtId="164" fontId="7" fillId="0" borderId="0" xfId="0" applyNumberFormat="1" applyFont="1"/>
    <xf numFmtId="0" fontId="8" fillId="0" borderId="0" xfId="0" applyFont="1"/>
    <xf numFmtId="3" fontId="7" fillId="0" borderId="0" xfId="0" applyNumberFormat="1" applyFont="1"/>
    <xf numFmtId="164" fontId="3" fillId="0" borderId="0" xfId="0" applyNumberFormat="1" applyFont="1"/>
    <xf numFmtId="3" fontId="5" fillId="2" borderId="9" xfId="0" applyNumberFormat="1" applyFont="1" applyFill="1" applyBorder="1" applyAlignment="1">
      <alignment horizontal="center"/>
    </xf>
    <xf numFmtId="164" fontId="3" fillId="0" borderId="9" xfId="0" applyNumberFormat="1" applyFont="1" applyBorder="1"/>
    <xf numFmtId="0" fontId="4" fillId="0" borderId="9" xfId="0" applyFont="1" applyBorder="1"/>
    <xf numFmtId="164" fontId="4" fillId="0" borderId="9" xfId="0" applyNumberFormat="1" applyFont="1" applyBorder="1"/>
    <xf numFmtId="3" fontId="4" fillId="0" borderId="9" xfId="0" applyNumberFormat="1" applyFont="1" applyBorder="1"/>
    <xf numFmtId="0" fontId="3" fillId="0" borderId="0" xfId="0" applyFont="1" applyAlignment="1">
      <alignment horizontal="left"/>
    </xf>
    <xf numFmtId="0" fontId="5" fillId="2" borderId="9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/>
    <xf numFmtId="0" fontId="0" fillId="0" borderId="0" xfId="0" applyAlignment="1">
      <alignment vertical="center"/>
    </xf>
    <xf numFmtId="43" fontId="8" fillId="0" borderId="0" xfId="0" applyNumberFormat="1" applyFont="1"/>
    <xf numFmtId="0" fontId="0" fillId="0" borderId="0" xfId="0" applyAlignment="1">
      <alignment horizontal="left"/>
    </xf>
    <xf numFmtId="164" fontId="8" fillId="0" borderId="0" xfId="0" applyNumberFormat="1" applyFont="1"/>
    <xf numFmtId="0" fontId="9" fillId="2" borderId="9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165" fontId="6" fillId="0" borderId="0" xfId="1" applyNumberFormat="1" applyFont="1"/>
    <xf numFmtId="3" fontId="3" fillId="0" borderId="0" xfId="0" applyNumberFormat="1" applyFont="1"/>
    <xf numFmtId="165" fontId="3" fillId="0" borderId="0" xfId="1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3" fontId="5" fillId="2" borderId="9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left"/>
    </xf>
    <xf numFmtId="164" fontId="3" fillId="3" borderId="1" xfId="0" applyNumberFormat="1" applyFont="1" applyFill="1" applyBorder="1"/>
    <xf numFmtId="0" fontId="3" fillId="3" borderId="0" xfId="0" applyFont="1" applyFill="1"/>
    <xf numFmtId="0" fontId="3" fillId="3" borderId="9" xfId="0" applyFont="1" applyFill="1" applyBorder="1"/>
    <xf numFmtId="0" fontId="3" fillId="3" borderId="0" xfId="0" applyFont="1" applyFill="1" applyAlignment="1">
      <alignment horizontal="left"/>
    </xf>
    <xf numFmtId="164" fontId="3" fillId="3" borderId="0" xfId="0" applyNumberFormat="1" applyFont="1" applyFill="1"/>
    <xf numFmtId="0" fontId="3" fillId="3" borderId="0" xfId="0" applyFont="1" applyFill="1" applyAlignment="1">
      <alignment horizontal="left" vertical="center" wrapText="1"/>
    </xf>
    <xf numFmtId="164" fontId="3" fillId="3" borderId="1" xfId="0" applyNumberFormat="1" applyFont="1" applyFill="1" applyBorder="1" applyAlignment="1">
      <alignment vertical="center"/>
    </xf>
    <xf numFmtId="43" fontId="3" fillId="3" borderId="4" xfId="0" applyNumberFormat="1" applyFont="1" applyFill="1" applyBorder="1"/>
    <xf numFmtId="43" fontId="3" fillId="3" borderId="1" xfId="0" applyNumberFormat="1" applyFont="1" applyFill="1" applyBorder="1"/>
    <xf numFmtId="165" fontId="3" fillId="3" borderId="7" xfId="1" applyNumberFormat="1" applyFont="1" applyFill="1" applyBorder="1"/>
    <xf numFmtId="0" fontId="8" fillId="3" borderId="0" xfId="0" applyFont="1" applyFill="1"/>
    <xf numFmtId="164" fontId="3" fillId="3" borderId="0" xfId="0" applyNumberFormat="1" applyFont="1" applyFill="1" applyAlignment="1">
      <alignment vertical="center"/>
    </xf>
    <xf numFmtId="165" fontId="3" fillId="3" borderId="0" xfId="1" applyNumberFormat="1" applyFont="1" applyFill="1" applyAlignment="1">
      <alignment vertical="center"/>
    </xf>
    <xf numFmtId="165" fontId="3" fillId="3" borderId="0" xfId="1" applyNumberFormat="1" applyFont="1" applyFill="1"/>
    <xf numFmtId="164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/>
    </xf>
    <xf numFmtId="166" fontId="11" fillId="3" borderId="8" xfId="2" applyNumberFormat="1" applyFont="1" applyFill="1" applyBorder="1" applyAlignment="1" applyProtection="1">
      <alignment horizontal="center" vertical="center"/>
    </xf>
    <xf numFmtId="166" fontId="11" fillId="3" borderId="8" xfId="2" applyNumberFormat="1" applyFont="1" applyFill="1" applyBorder="1" applyAlignment="1" applyProtection="1">
      <alignment horizontal="right" vertical="center"/>
    </xf>
    <xf numFmtId="0" fontId="13" fillId="2" borderId="0" xfId="0" applyFont="1" applyFill="1" applyAlignment="1">
      <alignment horizontal="center" vertical="center"/>
    </xf>
    <xf numFmtId="0" fontId="6" fillId="0" borderId="0" xfId="0" applyFont="1" applyAlignment="1">
      <alignment wrapText="1"/>
    </xf>
    <xf numFmtId="167" fontId="6" fillId="0" borderId="0" xfId="0" applyNumberFormat="1" applyFont="1"/>
    <xf numFmtId="167" fontId="6" fillId="0" borderId="0" xfId="0" applyNumberFormat="1" applyFont="1" applyAlignment="1">
      <alignment horizontal="right"/>
    </xf>
    <xf numFmtId="167" fontId="3" fillId="3" borderId="1" xfId="0" applyNumberFormat="1" applyFont="1" applyFill="1" applyBorder="1"/>
    <xf numFmtId="43" fontId="7" fillId="0" borderId="0" xfId="2" applyFont="1" applyBorder="1"/>
    <xf numFmtId="164" fontId="2" fillId="0" borderId="0" xfId="0" applyNumberFormat="1" applyFont="1"/>
    <xf numFmtId="167" fontId="3" fillId="0" borderId="1" xfId="0" applyNumberFormat="1" applyFont="1" applyBorder="1"/>
    <xf numFmtId="167" fontId="0" fillId="0" borderId="0" xfId="0" applyNumberFormat="1"/>
    <xf numFmtId="167" fontId="3" fillId="3" borderId="9" xfId="0" applyNumberFormat="1" applyFont="1" applyFill="1" applyBorder="1"/>
    <xf numFmtId="167" fontId="4" fillId="0" borderId="9" xfId="0" applyNumberFormat="1" applyFont="1" applyBorder="1"/>
    <xf numFmtId="167" fontId="7" fillId="0" borderId="0" xfId="0" applyNumberFormat="1" applyFont="1"/>
    <xf numFmtId="167" fontId="4" fillId="0" borderId="0" xfId="0" applyNumberFormat="1" applyFont="1"/>
    <xf numFmtId="167" fontId="3" fillId="3" borderId="0" xfId="0" applyNumberFormat="1" applyFont="1" applyFill="1"/>
    <xf numFmtId="167" fontId="3" fillId="0" borderId="5" xfId="0" applyNumberFormat="1" applyFont="1" applyBorder="1"/>
    <xf numFmtId="167" fontId="3" fillId="3" borderId="1" xfId="0" applyNumberFormat="1" applyFont="1" applyFill="1" applyBorder="1" applyAlignment="1">
      <alignment vertical="center"/>
    </xf>
    <xf numFmtId="167" fontId="0" fillId="0" borderId="0" xfId="0" applyNumberFormat="1" applyAlignment="1">
      <alignment vertical="center"/>
    </xf>
    <xf numFmtId="167" fontId="8" fillId="3" borderId="3" xfId="0" applyNumberFormat="1" applyFont="1" applyFill="1" applyBorder="1"/>
    <xf numFmtId="167" fontId="3" fillId="3" borderId="6" xfId="0" applyNumberFormat="1" applyFont="1" applyFill="1" applyBorder="1"/>
    <xf numFmtId="167" fontId="6" fillId="0" borderId="3" xfId="0" applyNumberFormat="1" applyFont="1" applyBorder="1"/>
    <xf numFmtId="167" fontId="10" fillId="3" borderId="2" xfId="0" applyNumberFormat="1" applyFont="1" applyFill="1" applyBorder="1"/>
    <xf numFmtId="167" fontId="3" fillId="3" borderId="2" xfId="0" applyNumberFormat="1" applyFont="1" applyFill="1" applyBorder="1"/>
    <xf numFmtId="43" fontId="6" fillId="0" borderId="0" xfId="0" applyNumberFormat="1" applyFont="1"/>
    <xf numFmtId="43" fontId="8" fillId="3" borderId="1" xfId="0" applyNumberFormat="1" applyFont="1" applyFill="1" applyBorder="1"/>
    <xf numFmtId="167" fontId="8" fillId="3" borderId="4" xfId="0" applyNumberFormat="1" applyFont="1" applyFill="1" applyBorder="1"/>
    <xf numFmtId="167" fontId="8" fillId="3" borderId="0" xfId="0" applyNumberFormat="1" applyFont="1" applyFill="1"/>
    <xf numFmtId="167" fontId="8" fillId="3" borderId="5" xfId="0" applyNumberFormat="1" applyFont="1" applyFill="1" applyBorder="1"/>
    <xf numFmtId="168" fontId="3" fillId="0" borderId="0" xfId="0" applyNumberFormat="1" applyFont="1"/>
    <xf numFmtId="168" fontId="0" fillId="0" borderId="0" xfId="0" applyNumberFormat="1"/>
    <xf numFmtId="0" fontId="4" fillId="0" borderId="0" xfId="0" applyFont="1" applyAlignment="1">
      <alignment horizontal="left" vertical="center" wrapText="1"/>
    </xf>
    <xf numFmtId="0" fontId="17" fillId="0" borderId="0" xfId="0" applyFont="1" applyAlignment="1">
      <alignment horizontal="right"/>
    </xf>
    <xf numFmtId="168" fontId="15" fillId="0" borderId="0" xfId="0" applyNumberFormat="1" applyFont="1"/>
    <xf numFmtId="167" fontId="6" fillId="4" borderId="0" xfId="0" applyNumberFormat="1" applyFont="1" applyFill="1"/>
    <xf numFmtId="167" fontId="0" fillId="0" borderId="0" xfId="0" applyNumberFormat="1" applyAlignment="1">
      <alignment wrapText="1"/>
    </xf>
    <xf numFmtId="0" fontId="19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15" fillId="0" borderId="0" xfId="0" applyFont="1"/>
    <xf numFmtId="170" fontId="0" fillId="0" borderId="0" xfId="0" applyNumberFormat="1" applyAlignment="1">
      <alignment vertical="center"/>
    </xf>
    <xf numFmtId="43" fontId="0" fillId="0" borderId="0" xfId="2" applyFont="1" applyFill="1" applyAlignment="1">
      <alignment vertical="center"/>
    </xf>
    <xf numFmtId="0" fontId="5" fillId="2" borderId="0" xfId="0" applyFont="1" applyFill="1" applyAlignment="1">
      <alignment vertical="center"/>
    </xf>
    <xf numFmtId="3" fontId="5" fillId="2" borderId="9" xfId="0" quotePrefix="1" applyNumberFormat="1" applyFont="1" applyFill="1" applyBorder="1" applyAlignment="1">
      <alignment horizontal="center"/>
    </xf>
    <xf numFmtId="0" fontId="16" fillId="0" borderId="0" xfId="0" applyFont="1"/>
    <xf numFmtId="9" fontId="20" fillId="0" borderId="0" xfId="1" applyFont="1"/>
    <xf numFmtId="167" fontId="16" fillId="0" borderId="0" xfId="0" applyNumberFormat="1" applyFont="1"/>
    <xf numFmtId="0" fontId="15" fillId="0" borderId="0" xfId="0" applyFont="1" applyAlignment="1">
      <alignment horizontal="right"/>
    </xf>
    <xf numFmtId="169" fontId="15" fillId="0" borderId="0" xfId="2" applyNumberFormat="1" applyFont="1" applyAlignment="1">
      <alignment horizontal="right"/>
    </xf>
    <xf numFmtId="0" fontId="18" fillId="4" borderId="0" xfId="0" applyFont="1" applyFill="1" applyAlignment="1">
      <alignment horizontal="right"/>
    </xf>
    <xf numFmtId="164" fontId="15" fillId="0" borderId="0" xfId="0" applyNumberFormat="1" applyFont="1" applyAlignment="1">
      <alignment horizontal="center"/>
    </xf>
    <xf numFmtId="43" fontId="15" fillId="0" borderId="0" xfId="2" applyFont="1"/>
    <xf numFmtId="169" fontId="0" fillId="0" borderId="0" xfId="2" applyNumberFormat="1" applyFont="1"/>
    <xf numFmtId="2" fontId="0" fillId="0" borderId="0" xfId="0" applyNumberFormat="1"/>
    <xf numFmtId="0" fontId="3" fillId="3" borderId="0" xfId="0" applyFont="1" applyFill="1" applyAlignment="1">
      <alignment vertical="center" wrapText="1"/>
    </xf>
    <xf numFmtId="0" fontId="21" fillId="0" borderId="0" xfId="0" applyFont="1"/>
    <xf numFmtId="164" fontId="22" fillId="0" borderId="0" xfId="0" applyNumberFormat="1" applyFont="1"/>
    <xf numFmtId="0" fontId="6" fillId="4" borderId="0" xfId="0" applyFont="1" applyFill="1"/>
    <xf numFmtId="0" fontId="0" fillId="4" borderId="0" xfId="0" applyFill="1"/>
    <xf numFmtId="3" fontId="0" fillId="4" borderId="0" xfId="0" applyNumberFormat="1" applyFill="1"/>
    <xf numFmtId="168" fontId="23" fillId="0" borderId="0" xfId="0" applyNumberFormat="1" applyFont="1"/>
    <xf numFmtId="0" fontId="23" fillId="0" borderId="0" xfId="0" applyFont="1"/>
    <xf numFmtId="164" fontId="24" fillId="0" borderId="0" xfId="0" applyNumberFormat="1" applyFont="1"/>
    <xf numFmtId="0" fontId="25" fillId="0" borderId="0" xfId="0" applyFont="1"/>
    <xf numFmtId="164" fontId="6" fillId="4" borderId="0" xfId="0" applyNumberFormat="1" applyFont="1" applyFill="1"/>
    <xf numFmtId="164" fontId="26" fillId="0" borderId="0" xfId="0" applyNumberFormat="1" applyFont="1"/>
    <xf numFmtId="0" fontId="27" fillId="0" borderId="0" xfId="0" applyFont="1"/>
    <xf numFmtId="0" fontId="3" fillId="4" borderId="0" xfId="0" applyFont="1" applyFill="1"/>
    <xf numFmtId="165" fontId="3" fillId="4" borderId="0" xfId="1" applyNumberFormat="1" applyFont="1" applyFill="1"/>
    <xf numFmtId="0" fontId="4" fillId="4" borderId="0" xfId="0" applyFont="1" applyFill="1"/>
    <xf numFmtId="167" fontId="6" fillId="5" borderId="0" xfId="0" applyNumberFormat="1" applyFont="1" applyFill="1"/>
    <xf numFmtId="49" fontId="5" fillId="2" borderId="9" xfId="0" applyNumberFormat="1" applyFont="1" applyFill="1" applyBorder="1" applyAlignment="1">
      <alignment horizontal="center"/>
    </xf>
    <xf numFmtId="43" fontId="3" fillId="3" borderId="4" xfId="0" applyNumberFormat="1" applyFont="1" applyFill="1" applyBorder="1" applyAlignment="1">
      <alignment horizontal="right"/>
    </xf>
    <xf numFmtId="43" fontId="3" fillId="3" borderId="0" xfId="2" applyFont="1" applyFill="1" applyAlignment="1">
      <alignment vertical="center"/>
    </xf>
    <xf numFmtId="0" fontId="5" fillId="2" borderId="9" xfId="0" quotePrefix="1" applyFont="1" applyFill="1" applyBorder="1" applyAlignment="1">
      <alignment horizontal="center"/>
    </xf>
    <xf numFmtId="3" fontId="5" fillId="2" borderId="9" xfId="0" applyNumberFormat="1" applyFont="1" applyFill="1" applyBorder="1" applyAlignment="1">
      <alignment horizontal="left"/>
    </xf>
    <xf numFmtId="167" fontId="12" fillId="0" borderId="0" xfId="0" applyNumberFormat="1" applyFont="1"/>
    <xf numFmtId="43" fontId="0" fillId="0" borderId="0" xfId="0" applyNumberFormat="1"/>
    <xf numFmtId="169" fontId="6" fillId="0" borderId="0" xfId="2" applyNumberFormat="1" applyFont="1"/>
    <xf numFmtId="169" fontId="0" fillId="0" borderId="0" xfId="0" applyNumberFormat="1"/>
    <xf numFmtId="171" fontId="28" fillId="0" borderId="0" xfId="2" applyNumberFormat="1" applyFont="1" applyFill="1" applyBorder="1" applyAlignment="1" applyProtection="1">
      <alignment horizontal="right" vertical="center"/>
    </xf>
    <xf numFmtId="172" fontId="3" fillId="3" borderId="9" xfId="2" applyNumberFormat="1" applyFont="1" applyFill="1" applyBorder="1"/>
    <xf numFmtId="173" fontId="7" fillId="0" borderId="0" xfId="0" applyNumberFormat="1" applyFont="1" applyAlignment="1">
      <alignment vertical="center"/>
    </xf>
    <xf numFmtId="168" fontId="6" fillId="0" borderId="0" xfId="0" applyNumberFormat="1" applyFont="1"/>
    <xf numFmtId="0" fontId="29" fillId="0" borderId="0" xfId="4" applyFont="1" applyAlignment="1">
      <alignment horizontal="left"/>
    </xf>
    <xf numFmtId="0" fontId="5" fillId="2" borderId="0" xfId="0" applyFont="1" applyFill="1" applyAlignment="1">
      <alignment horizontal="center" vertical="center"/>
    </xf>
  </cellXfs>
  <cellStyles count="5">
    <cellStyle name="Normal" xfId="0" builtinId="0"/>
    <cellStyle name="Normal 10" xfId="3" xr:uid="{00000000-0005-0000-0000-000001000000}"/>
    <cellStyle name="Normal 2" xfId="4" xr:uid="{E5216A1C-41C6-4186-A47F-BFDECCF7330F}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EBITDA Adj. - EBITDA Ajus.'!A1"/><Relationship Id="rId13" Type="http://schemas.openxmlformats.org/officeDocument/2006/relationships/image" Target="../media/image5.png"/><Relationship Id="rId3" Type="http://schemas.openxmlformats.org/officeDocument/2006/relationships/hyperlink" Target="#'Assets - Ativo'!A1"/><Relationship Id="rId7" Type="http://schemas.openxmlformats.org/officeDocument/2006/relationships/hyperlink" Target="#'Cash Flow - Fluxo de Caixa'!A1"/><Relationship Id="rId12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hyperlink" Target="#'Indebtedness - Endividamento'!A1"/><Relationship Id="rId11" Type="http://schemas.openxmlformats.org/officeDocument/2006/relationships/image" Target="../media/image3.png"/><Relationship Id="rId5" Type="http://schemas.openxmlformats.org/officeDocument/2006/relationships/hyperlink" Target="#'Income Statement - DRE'!A1"/><Relationship Id="rId10" Type="http://schemas.openxmlformats.org/officeDocument/2006/relationships/hyperlink" Target="#'Results - BU - US GAAP'!A1"/><Relationship Id="rId4" Type="http://schemas.openxmlformats.org/officeDocument/2006/relationships/hyperlink" Target="#'Liabilitites - Passivo'!A1"/><Relationship Id="rId9" Type="http://schemas.openxmlformats.org/officeDocument/2006/relationships/hyperlink" Target="#'Results - BU - IFRS'!A1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6.png"/><Relationship Id="rId1" Type="http://schemas.openxmlformats.org/officeDocument/2006/relationships/hyperlink" Target="#Index!A1"/><Relationship Id="rId4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dex!A1"/><Relationship Id="rId1" Type="http://schemas.openxmlformats.org/officeDocument/2006/relationships/hyperlink" Target="#Sum&#225;rio!A1"/><Relationship Id="rId5" Type="http://schemas.openxmlformats.org/officeDocument/2006/relationships/image" Target="../media/image8.jpeg"/><Relationship Id="rId4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9.png"/><Relationship Id="rId1" Type="http://schemas.openxmlformats.org/officeDocument/2006/relationships/hyperlink" Target="#Index!A1"/><Relationship Id="rId4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3.wdp"/><Relationship Id="rId2" Type="http://schemas.openxmlformats.org/officeDocument/2006/relationships/image" Target="../media/image11.png"/><Relationship Id="rId1" Type="http://schemas.openxmlformats.org/officeDocument/2006/relationships/hyperlink" Target="#Index!A1"/><Relationship Id="rId4" Type="http://schemas.openxmlformats.org/officeDocument/2006/relationships/image" Target="../media/image8.jpeg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4.wdp"/><Relationship Id="rId2" Type="http://schemas.openxmlformats.org/officeDocument/2006/relationships/image" Target="../media/image12.png"/><Relationship Id="rId1" Type="http://schemas.openxmlformats.org/officeDocument/2006/relationships/hyperlink" Target="#Index!A1"/><Relationship Id="rId4" Type="http://schemas.openxmlformats.org/officeDocument/2006/relationships/image" Target="../media/image13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dex!A1"/><Relationship Id="rId1" Type="http://schemas.openxmlformats.org/officeDocument/2006/relationships/image" Target="../media/image14.jpeg"/><Relationship Id="rId4" Type="http://schemas.microsoft.com/office/2007/relationships/hdphoto" Target="../media/hdphoto1.wdp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6.png"/><Relationship Id="rId1" Type="http://schemas.openxmlformats.org/officeDocument/2006/relationships/hyperlink" Target="#Index!A1"/><Relationship Id="rId4" Type="http://schemas.openxmlformats.org/officeDocument/2006/relationships/image" Target="../media/image7.jpeg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07/relationships/hdphoto" Target="../media/hdphoto4.wdp"/><Relationship Id="rId2" Type="http://schemas.openxmlformats.org/officeDocument/2006/relationships/image" Target="../media/image12.png"/><Relationship Id="rId1" Type="http://schemas.openxmlformats.org/officeDocument/2006/relationships/hyperlink" Target="#Index!A1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24</xdr:row>
      <xdr:rowOff>0</xdr:rowOff>
    </xdr:to>
    <xdr:pic>
      <xdr:nvPicPr>
        <xdr:cNvPr id="29" name="Picture 3" descr="A wooden table with a blurry background&#10;&#10;Description automatically generated">
          <a:extLst>
            <a:ext uri="{FF2B5EF4-FFF2-40B4-BE49-F238E27FC236}">
              <a16:creationId xmlns:a16="http://schemas.microsoft.com/office/drawing/2014/main" id="{E1CBFA51-A91B-BE65-1CA9-21AA9BD756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0"/>
          <a:ext cx="8224630" cy="4191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125100</xdr:rowOff>
    </xdr:from>
    <xdr:to>
      <xdr:col>13</xdr:col>
      <xdr:colOff>0</xdr:colOff>
      <xdr:row>24</xdr:row>
      <xdr:rowOff>0</xdr:rowOff>
    </xdr:to>
    <xdr:pic>
      <xdr:nvPicPr>
        <xdr:cNvPr id="22" name="Picture 5" descr="A group of food packages&#10;&#10;Description automatically generated">
          <a:extLst>
            <a:ext uri="{FF2B5EF4-FFF2-40B4-BE49-F238E27FC236}">
              <a16:creationId xmlns:a16="http://schemas.microsoft.com/office/drawing/2014/main" id="{38F82791-6DF2-40E6-887D-109F91632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218404"/>
          <a:ext cx="8224630" cy="2972596"/>
        </a:xfrm>
        <a:prstGeom prst="rect">
          <a:avLst/>
        </a:prstGeom>
      </xdr:spPr>
    </xdr:pic>
    <xdr:clientData/>
  </xdr:twoCellAnchor>
  <xdr:twoCellAnchor>
    <xdr:from>
      <xdr:col>0</xdr:col>
      <xdr:colOff>277091</xdr:colOff>
      <xdr:row>5</xdr:row>
      <xdr:rowOff>47135</xdr:rowOff>
    </xdr:from>
    <xdr:to>
      <xdr:col>8</xdr:col>
      <xdr:colOff>198029</xdr:colOff>
      <xdr:row>7</xdr:row>
      <xdr:rowOff>81830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77091" y="786044"/>
          <a:ext cx="4977847" cy="404150"/>
        </a:xfrm>
        <a:prstGeom prst="rect">
          <a:avLst/>
        </a:prstGeom>
      </xdr:spPr>
      <xdr:txBody>
        <a:bodyPr wrap="square" lIns="91440" tIns="45720" rIns="91440" bIns="45720" anchor="ctr">
          <a:spAutoFit/>
        </a:bodyPr>
        <a:lstStyle>
          <a:defPPr>
            <a:defRPr lang="pt-BR"/>
          </a:defPPr>
          <a:lvl1pPr marL="0" algn="l" defTabSz="1367935" rtl="0" eaLnBrk="1" latinLnBrk="0" hangingPunct="1">
            <a:defRPr sz="2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83968" algn="l" defTabSz="1367935" rtl="0" eaLnBrk="1" latinLnBrk="0" hangingPunct="1">
            <a:defRPr sz="2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67935" algn="l" defTabSz="1367935" rtl="0" eaLnBrk="1" latinLnBrk="0" hangingPunct="1">
            <a:defRPr sz="2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2051905" algn="l" defTabSz="1367935" rtl="0" eaLnBrk="1" latinLnBrk="0" hangingPunct="1">
            <a:defRPr sz="2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735872" algn="l" defTabSz="1367935" rtl="0" eaLnBrk="1" latinLnBrk="0" hangingPunct="1">
            <a:defRPr sz="2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419838" algn="l" defTabSz="1367935" rtl="0" eaLnBrk="1" latinLnBrk="0" hangingPunct="1">
            <a:defRPr sz="2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4103805" algn="l" defTabSz="1367935" rtl="0" eaLnBrk="1" latinLnBrk="0" hangingPunct="1">
            <a:defRPr sz="2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787777" algn="l" defTabSz="1367935" rtl="0" eaLnBrk="1" latinLnBrk="0" hangingPunct="1">
            <a:defRPr sz="2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471742" algn="l" defTabSz="1367935" rtl="0" eaLnBrk="1" latinLnBrk="0" hangingPunct="1">
            <a:defRPr sz="2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>
              <a:solidFill>
                <a:srgbClr val="0070C0"/>
              </a:solidFill>
              <a:latin typeface="Segoe UI Black"/>
              <a:ea typeface="Segoe UI Black"/>
            </a:rPr>
            <a:t>FUNDAMENTALS AND</a:t>
          </a:r>
          <a:r>
            <a:rPr lang="pt-BR" sz="1800" baseline="0">
              <a:solidFill>
                <a:srgbClr val="0070C0"/>
              </a:solidFill>
              <a:latin typeface="Segoe UI Black"/>
              <a:ea typeface="Segoe UI Black"/>
            </a:rPr>
            <a:t> </a:t>
          </a:r>
          <a:r>
            <a:rPr lang="pt-BR" sz="1800">
              <a:solidFill>
                <a:srgbClr val="0070C0"/>
              </a:solidFill>
              <a:latin typeface="Segoe UI Black"/>
              <a:ea typeface="Segoe UI Black"/>
            </a:rPr>
            <a:t>SPREADSHEETS</a:t>
          </a:r>
          <a:r>
            <a:rPr lang="pt-BR" sz="1200">
              <a:solidFill>
                <a:schemeClr val="bg1"/>
              </a:solidFill>
              <a:latin typeface="Segoe UI Black"/>
              <a:ea typeface="Segoe UI Black"/>
            </a:rPr>
            <a:t> </a:t>
          </a:r>
        </a:p>
      </xdr:txBody>
    </xdr:sp>
    <xdr:clientData/>
  </xdr:twoCellAnchor>
  <xdr:twoCellAnchor>
    <xdr:from>
      <xdr:col>8</xdr:col>
      <xdr:colOff>369958</xdr:colOff>
      <xdr:row>1</xdr:row>
      <xdr:rowOff>22087</xdr:rowOff>
    </xdr:from>
    <xdr:to>
      <xdr:col>9</xdr:col>
      <xdr:colOff>563216</xdr:colOff>
      <xdr:row>3</xdr:row>
      <xdr:rowOff>132522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427871" y="22087"/>
          <a:ext cx="833780" cy="47487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rgbClr val="0070C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Assets </a:t>
          </a:r>
        </a:p>
        <a:p>
          <a:pPr algn="ctr"/>
          <a:r>
            <a:rPr lang="pt-BR" sz="1050" b="1">
              <a:solidFill>
                <a:schemeClr val="bg1">
                  <a:lumMod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(Ativo)</a:t>
          </a:r>
        </a:p>
      </xdr:txBody>
    </xdr:sp>
    <xdr:clientData/>
  </xdr:twoCellAnchor>
  <xdr:twoCellAnchor>
    <xdr:from>
      <xdr:col>9</xdr:col>
      <xdr:colOff>596347</xdr:colOff>
      <xdr:row>1</xdr:row>
      <xdr:rowOff>25399</xdr:rowOff>
    </xdr:from>
    <xdr:to>
      <xdr:col>11</xdr:col>
      <xdr:colOff>193259</xdr:colOff>
      <xdr:row>3</xdr:row>
      <xdr:rowOff>138043</xdr:rowOff>
    </xdr:to>
    <xdr:sp macro="" textlink="">
      <xdr:nvSpPr>
        <xdr:cNvPr id="16" name="Retângulo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294782" y="25399"/>
          <a:ext cx="877955" cy="47707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50" b="1">
              <a:solidFill>
                <a:srgbClr val="0070C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Liabilities</a:t>
          </a:r>
        </a:p>
        <a:p>
          <a:pPr marL="0" indent="0" algn="ctr"/>
          <a:r>
            <a:rPr lang="pt-BR" sz="1050" b="1">
              <a:solidFill>
                <a:schemeClr val="bg1">
                  <a:lumMod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(Passivo)</a:t>
          </a:r>
        </a:p>
      </xdr:txBody>
    </xdr:sp>
    <xdr:clientData/>
  </xdr:twoCellAnchor>
  <xdr:twoCellAnchor>
    <xdr:from>
      <xdr:col>11</xdr:col>
      <xdr:colOff>227489</xdr:colOff>
      <xdr:row>1</xdr:row>
      <xdr:rowOff>28713</xdr:rowOff>
    </xdr:from>
    <xdr:to>
      <xdr:col>12</xdr:col>
      <xdr:colOff>403085</xdr:colOff>
      <xdr:row>3</xdr:row>
      <xdr:rowOff>138042</xdr:rowOff>
    </xdr:to>
    <xdr:sp macro="" textlink="">
      <xdr:nvSpPr>
        <xdr:cNvPr id="18" name="Retângulo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7206967" y="28713"/>
          <a:ext cx="816118" cy="47376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rgbClr val="0070C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I.S.</a:t>
          </a:r>
        </a:p>
        <a:p>
          <a:pPr algn="ctr"/>
          <a:r>
            <a:rPr lang="pt-BR" sz="1050" b="1">
              <a:solidFill>
                <a:schemeClr val="bg1">
                  <a:lumMod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(DRE)</a:t>
          </a:r>
        </a:p>
      </xdr:txBody>
    </xdr:sp>
    <xdr:clientData/>
  </xdr:twoCellAnchor>
  <xdr:twoCellAnchor>
    <xdr:from>
      <xdr:col>8</xdr:col>
      <xdr:colOff>386522</xdr:colOff>
      <xdr:row>6</xdr:row>
      <xdr:rowOff>142460</xdr:rowOff>
    </xdr:from>
    <xdr:to>
      <xdr:col>12</xdr:col>
      <xdr:colOff>430695</xdr:colOff>
      <xdr:row>9</xdr:row>
      <xdr:rowOff>66259</xdr:rowOff>
    </xdr:to>
    <xdr:sp macro="" textlink="">
      <xdr:nvSpPr>
        <xdr:cNvPr id="19" name="Retângulo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5444435" y="1053547"/>
          <a:ext cx="2606260" cy="47045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rgbClr val="0070C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Indebtedness </a:t>
          </a:r>
        </a:p>
        <a:p>
          <a:pPr algn="ctr"/>
          <a:r>
            <a:rPr lang="pt-BR" sz="1050" b="1">
              <a:solidFill>
                <a:schemeClr val="bg1">
                  <a:lumMod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(Endividamento)</a:t>
          </a:r>
        </a:p>
      </xdr:txBody>
    </xdr:sp>
    <xdr:clientData/>
  </xdr:twoCellAnchor>
  <xdr:twoCellAnchor>
    <xdr:from>
      <xdr:col>8</xdr:col>
      <xdr:colOff>386522</xdr:colOff>
      <xdr:row>3</xdr:row>
      <xdr:rowOff>178905</xdr:rowOff>
    </xdr:from>
    <xdr:to>
      <xdr:col>12</xdr:col>
      <xdr:colOff>419652</xdr:colOff>
      <xdr:row>6</xdr:row>
      <xdr:rowOff>110434</xdr:rowOff>
    </xdr:to>
    <xdr:sp macro="" textlink="">
      <xdr:nvSpPr>
        <xdr:cNvPr id="20" name="Retângulo 1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444435" y="543340"/>
          <a:ext cx="2595217" cy="47818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rgbClr val="0070C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Cash Flow </a:t>
          </a:r>
        </a:p>
        <a:p>
          <a:pPr algn="ctr"/>
          <a:r>
            <a:rPr lang="pt-BR" sz="1050" b="1">
              <a:solidFill>
                <a:schemeClr val="bg1">
                  <a:lumMod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(Fluxo de Caixa)</a:t>
          </a:r>
        </a:p>
      </xdr:txBody>
    </xdr:sp>
    <xdr:clientData/>
  </xdr:twoCellAnchor>
  <xdr:twoCellAnchor>
    <xdr:from>
      <xdr:col>8</xdr:col>
      <xdr:colOff>397564</xdr:colOff>
      <xdr:row>9</xdr:row>
      <xdr:rowOff>104913</xdr:rowOff>
    </xdr:from>
    <xdr:to>
      <xdr:col>12</xdr:col>
      <xdr:colOff>441739</xdr:colOff>
      <xdr:row>12</xdr:row>
      <xdr:rowOff>77304</xdr:rowOff>
    </xdr:to>
    <xdr:sp macro="" textlink="">
      <xdr:nvSpPr>
        <xdr:cNvPr id="21" name="Retângulo 2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455477" y="1562652"/>
          <a:ext cx="2606262" cy="51904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rgbClr val="0070C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EBITDA Adj. </a:t>
          </a:r>
        </a:p>
        <a:p>
          <a:pPr algn="ctr"/>
          <a:r>
            <a:rPr lang="pt-BR" sz="1050" b="1">
              <a:solidFill>
                <a:schemeClr val="bg1">
                  <a:lumMod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(EBITDA Ajustado)</a:t>
          </a:r>
          <a:r>
            <a:rPr lang="pt-BR" sz="1050" b="1">
              <a:solidFill>
                <a:srgbClr val="0070C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</a:p>
      </xdr:txBody>
    </xdr:sp>
    <xdr:clientData/>
  </xdr:twoCellAnchor>
  <xdr:twoCellAnchor>
    <xdr:from>
      <xdr:col>8</xdr:col>
      <xdr:colOff>403087</xdr:colOff>
      <xdr:row>12</xdr:row>
      <xdr:rowOff>110439</xdr:rowOff>
    </xdr:from>
    <xdr:to>
      <xdr:col>12</xdr:col>
      <xdr:colOff>452783</xdr:colOff>
      <xdr:row>15</xdr:row>
      <xdr:rowOff>138044</xdr:rowOff>
    </xdr:to>
    <xdr:sp macro="" textlink="">
      <xdr:nvSpPr>
        <xdr:cNvPr id="23" name="Retângulo 2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5461000" y="2114830"/>
          <a:ext cx="2611783" cy="57425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0070C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Operational Results</a:t>
          </a:r>
          <a:r>
            <a:rPr lang="pt-BR" sz="1100" b="1" baseline="0">
              <a:solidFill>
                <a:srgbClr val="0070C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IFRS</a:t>
          </a:r>
        </a:p>
        <a:p>
          <a:pPr algn="ctr"/>
          <a:r>
            <a:rPr lang="pt-BR" sz="1100" b="1" baseline="0">
              <a:solidFill>
                <a:schemeClr val="bg1">
                  <a:lumMod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(Resultado Op. por BU - IFRS)</a:t>
          </a:r>
          <a:r>
            <a:rPr lang="pt-BR" sz="1100" b="1" baseline="0">
              <a:solidFill>
                <a:srgbClr val="0070C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  <a:endParaRPr lang="pt-BR" sz="1100" b="1">
            <a:solidFill>
              <a:srgbClr val="0070C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8</xdr:col>
      <xdr:colOff>414131</xdr:colOff>
      <xdr:row>15</xdr:row>
      <xdr:rowOff>176697</xdr:rowOff>
    </xdr:from>
    <xdr:to>
      <xdr:col>12</xdr:col>
      <xdr:colOff>469348</xdr:colOff>
      <xdr:row>19</xdr:row>
      <xdr:rowOff>38652</xdr:rowOff>
    </xdr:to>
    <xdr:sp macro="" textlink="">
      <xdr:nvSpPr>
        <xdr:cNvPr id="26" name="Retângulo 2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5472044" y="2727740"/>
          <a:ext cx="2617304" cy="59082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0070C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Operational Results</a:t>
          </a:r>
          <a:r>
            <a:rPr lang="pt-BR" sz="1100" b="1" baseline="0">
              <a:solidFill>
                <a:srgbClr val="0070C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USGAAP</a:t>
          </a:r>
        </a:p>
        <a:p>
          <a:pPr algn="ctr"/>
          <a:r>
            <a:rPr lang="pt-BR" sz="1100" b="1" baseline="0">
              <a:solidFill>
                <a:schemeClr val="bg1">
                  <a:lumMod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(Resultado Op. por BU - USGAAP)</a:t>
          </a:r>
          <a:endParaRPr lang="pt-BR" sz="1100" b="1">
            <a:solidFill>
              <a:schemeClr val="bg1">
                <a:lumMod val="50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oneCell">
    <xdr:from>
      <xdr:col>16384</xdr:col>
      <xdr:colOff>2781027</xdr:colOff>
      <xdr:row>7</xdr:row>
      <xdr:rowOff>76713</xdr:rowOff>
    </xdr:from>
    <xdr:to>
      <xdr:col>16384</xdr:col>
      <xdr:colOff>4511418</xdr:colOff>
      <xdr:row>13</xdr:row>
      <xdr:rowOff>2968</xdr:rowOff>
    </xdr:to>
    <xdr:pic>
      <xdr:nvPicPr>
        <xdr:cNvPr id="27" name="Imagem 26" descr="Uma imagem contendo Ícone&#10;&#10;Descrição gerada automaticament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/>
        <a:stretch/>
      </xdr:blipFill>
      <xdr:spPr>
        <a:xfrm rot="10800000">
          <a:off x="11041549" y="1170017"/>
          <a:ext cx="1730391" cy="1019560"/>
        </a:xfrm>
        <a:prstGeom prst="rect">
          <a:avLst/>
        </a:prstGeom>
      </xdr:spPr>
    </xdr:pic>
    <xdr:clientData/>
  </xdr:twoCellAnchor>
  <xdr:twoCellAnchor editAs="oneCell">
    <xdr:from>
      <xdr:col>2</xdr:col>
      <xdr:colOff>535049</xdr:colOff>
      <xdr:row>1048576</xdr:row>
      <xdr:rowOff>511825</xdr:rowOff>
    </xdr:from>
    <xdr:to>
      <xdr:col>16384</xdr:col>
      <xdr:colOff>4813291</xdr:colOff>
      <xdr:row>1048576</xdr:row>
      <xdr:rowOff>3298289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49832" y="4702825"/>
          <a:ext cx="11323981" cy="2786464"/>
        </a:xfrm>
        <a:prstGeom prst="rect">
          <a:avLst/>
        </a:prstGeom>
      </xdr:spPr>
    </xdr:pic>
    <xdr:clientData/>
  </xdr:twoCellAnchor>
  <xdr:twoCellAnchor editAs="oneCell">
    <xdr:from>
      <xdr:col>3</xdr:col>
      <xdr:colOff>318077</xdr:colOff>
      <xdr:row>1</xdr:row>
      <xdr:rowOff>86694</xdr:rowOff>
    </xdr:from>
    <xdr:to>
      <xdr:col>5</xdr:col>
      <xdr:colOff>439304</xdr:colOff>
      <xdr:row>5</xdr:row>
      <xdr:rowOff>53170</xdr:rowOff>
    </xdr:to>
    <xdr:pic>
      <xdr:nvPicPr>
        <xdr:cNvPr id="30" name="Picture 1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72277" y="86694"/>
          <a:ext cx="1403927" cy="703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1578428</xdr:colOff>
      <xdr:row>1</xdr:row>
      <xdr:rowOff>122466</xdr:rowOff>
    </xdr:from>
    <xdr:to>
      <xdr:col>2</xdr:col>
      <xdr:colOff>2618825</xdr:colOff>
      <xdr:row>1</xdr:row>
      <xdr:rowOff>638175</xdr:rowOff>
    </xdr:to>
    <xdr:pic>
      <xdr:nvPicPr>
        <xdr:cNvPr id="6" name="Imagem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0" b="97576" l="9508" r="89508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8428" y="140609"/>
          <a:ext cx="1037222" cy="512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1713995</xdr:colOff>
      <xdr:row>3</xdr:row>
      <xdr:rowOff>48532</xdr:rowOff>
    </xdr:to>
    <xdr:pic>
      <xdr:nvPicPr>
        <xdr:cNvPr id="4" name="Pictur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713995" cy="8617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1299882</xdr:colOff>
      <xdr:row>0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56882" y="44824"/>
          <a:ext cx="1299882" cy="302558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</a:rPr>
            <a:t>Back</a:t>
          </a:r>
        </a:p>
      </xdr:txBody>
    </xdr:sp>
    <xdr:clientData/>
  </xdr:twoCellAnchor>
  <xdr:twoCellAnchor editAs="oneCell">
    <xdr:from>
      <xdr:col>2</xdr:col>
      <xdr:colOff>1542142</xdr:colOff>
      <xdr:row>1</xdr:row>
      <xdr:rowOff>131538</xdr:rowOff>
    </xdr:from>
    <xdr:to>
      <xdr:col>2</xdr:col>
      <xdr:colOff>2582539</xdr:colOff>
      <xdr:row>1</xdr:row>
      <xdr:rowOff>640897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AE3382-E775-43B3-8D19-C33AACCE4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7576" l="9508" r="89508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2142" y="149681"/>
          <a:ext cx="1037222" cy="512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1713995</xdr:colOff>
      <xdr:row>3</xdr:row>
      <xdr:rowOff>48532</xdr:rowOff>
    </xdr:to>
    <xdr:pic>
      <xdr:nvPicPr>
        <xdr:cNvPr id="7" name="Picture 16">
          <a:extLst>
            <a:ext uri="{FF2B5EF4-FFF2-40B4-BE49-F238E27FC236}">
              <a16:creationId xmlns:a16="http://schemas.microsoft.com/office/drawing/2014/main" id="{E1171E32-2A5A-4359-9E75-6BE25182B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72143"/>
          <a:ext cx="1713995" cy="8617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1514928</xdr:colOff>
      <xdr:row>1</xdr:row>
      <xdr:rowOff>119442</xdr:rowOff>
    </xdr:from>
    <xdr:to>
      <xdr:col>2</xdr:col>
      <xdr:colOff>2552150</xdr:colOff>
      <xdr:row>1</xdr:row>
      <xdr:rowOff>659190</xdr:rowOff>
    </xdr:to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3812E-7388-4619-A7B7-AFCED1C3F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0" b="97576" l="9508" r="89508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8428" y="140609"/>
          <a:ext cx="1037222" cy="5397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1650495</xdr:colOff>
      <xdr:row>3</xdr:row>
      <xdr:rowOff>66221</xdr:rowOff>
    </xdr:to>
    <xdr:pic>
      <xdr:nvPicPr>
        <xdr:cNvPr id="5" name="Picture 16">
          <a:extLst>
            <a:ext uri="{FF2B5EF4-FFF2-40B4-BE49-F238E27FC236}">
              <a16:creationId xmlns:a16="http://schemas.microsoft.com/office/drawing/2014/main" id="{65D77994-BE44-4CA1-957F-D144ADD4B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713995" cy="8980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1578428</xdr:colOff>
      <xdr:row>1</xdr:row>
      <xdr:rowOff>122466</xdr:rowOff>
    </xdr:from>
    <xdr:to>
      <xdr:col>2</xdr:col>
      <xdr:colOff>2622000</xdr:colOff>
      <xdr:row>1</xdr:row>
      <xdr:rowOff>635000</xdr:rowOff>
    </xdr:to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8327D0-3F7E-4039-8564-04D93DC36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0" b="97576" l="9508" r="89508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8428" y="140609"/>
          <a:ext cx="1037222" cy="512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1713995</xdr:colOff>
      <xdr:row>3</xdr:row>
      <xdr:rowOff>45357</xdr:rowOff>
    </xdr:to>
    <xdr:pic>
      <xdr:nvPicPr>
        <xdr:cNvPr id="5" name="Picture 16">
          <a:extLst>
            <a:ext uri="{FF2B5EF4-FFF2-40B4-BE49-F238E27FC236}">
              <a16:creationId xmlns:a16="http://schemas.microsoft.com/office/drawing/2014/main" id="{DF07CF9D-396B-4175-8247-54FBBE470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713995" cy="8617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1342571</xdr:colOff>
      <xdr:row>1</xdr:row>
      <xdr:rowOff>122466</xdr:rowOff>
    </xdr:from>
    <xdr:to>
      <xdr:col>1</xdr:col>
      <xdr:colOff>2379793</xdr:colOff>
      <xdr:row>1</xdr:row>
      <xdr:rowOff>638175</xdr:rowOff>
    </xdr:to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375AC6-EBA7-4817-80C8-DB6B7D34C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0" b="97576" l="9508" r="89508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8428" y="140609"/>
          <a:ext cx="1037222" cy="512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1703287</xdr:colOff>
      <xdr:row>3</xdr:row>
      <xdr:rowOff>48532</xdr:rowOff>
    </xdr:to>
    <xdr:pic>
      <xdr:nvPicPr>
        <xdr:cNvPr id="7" name="Picture 16">
          <a:extLst>
            <a:ext uri="{FF2B5EF4-FFF2-40B4-BE49-F238E27FC236}">
              <a16:creationId xmlns:a16="http://schemas.microsoft.com/office/drawing/2014/main" id="{3E8C78BC-8DC1-4AF5-8E49-10D68C007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713995" cy="8617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1654230</xdr:colOff>
      <xdr:row>3</xdr:row>
      <xdr:rowOff>40021</xdr:rowOff>
    </xdr:to>
    <xdr:pic>
      <xdr:nvPicPr>
        <xdr:cNvPr id="7" name="Picture 16">
          <a:extLst>
            <a:ext uri="{FF2B5EF4-FFF2-40B4-BE49-F238E27FC236}">
              <a16:creationId xmlns:a16="http://schemas.microsoft.com/office/drawing/2014/main" id="{7A2A9FF1-7EB0-43BC-B6BB-2CBBED274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713995" cy="861786"/>
        </a:xfrm>
        <a:prstGeom prst="rect">
          <a:avLst/>
        </a:prstGeom>
      </xdr:spPr>
    </xdr:pic>
    <xdr:clientData/>
  </xdr:twoCellAnchor>
  <xdr:twoCellAnchor editAs="oneCell">
    <xdr:from>
      <xdr:col>2</xdr:col>
      <xdr:colOff>1568450</xdr:colOff>
      <xdr:row>1</xdr:row>
      <xdr:rowOff>139700</xdr:rowOff>
    </xdr:from>
    <xdr:to>
      <xdr:col>2</xdr:col>
      <xdr:colOff>2612022</xdr:colOff>
      <xdr:row>1</xdr:row>
      <xdr:rowOff>655409</xdr:rowOff>
    </xdr:to>
    <xdr:pic>
      <xdr:nvPicPr>
        <xdr:cNvPr id="8" name="Imagem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ECDE80D-8316-4596-9AD3-9BAFAAEB0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7576" l="9508" r="89508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1950" y="155575"/>
          <a:ext cx="1043572" cy="51888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1523999</xdr:colOff>
      <xdr:row>1</xdr:row>
      <xdr:rowOff>122466</xdr:rowOff>
    </xdr:from>
    <xdr:to>
      <xdr:col>2</xdr:col>
      <xdr:colOff>2564396</xdr:colOff>
      <xdr:row>1</xdr:row>
      <xdr:rowOff>638175</xdr:rowOff>
    </xdr:to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5CAFC-448A-477C-8398-FC5BF791B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0" b="97576" l="9508" r="89508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8428" y="140609"/>
          <a:ext cx="1037222" cy="512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1659566</xdr:colOff>
      <xdr:row>3</xdr:row>
      <xdr:rowOff>48532</xdr:rowOff>
    </xdr:to>
    <xdr:pic>
      <xdr:nvPicPr>
        <xdr:cNvPr id="7" name="Picture 16">
          <a:extLst>
            <a:ext uri="{FF2B5EF4-FFF2-40B4-BE49-F238E27FC236}">
              <a16:creationId xmlns:a16="http://schemas.microsoft.com/office/drawing/2014/main" id="{C8643384-A48D-4F30-8CF4-98353C1D2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713995" cy="8617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1523999</xdr:colOff>
      <xdr:row>1</xdr:row>
      <xdr:rowOff>122466</xdr:rowOff>
    </xdr:from>
    <xdr:to>
      <xdr:col>2</xdr:col>
      <xdr:colOff>2552149</xdr:colOff>
      <xdr:row>1</xdr:row>
      <xdr:rowOff>638175</xdr:rowOff>
    </xdr:to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486DF7-D686-485B-9C0F-B4DA5D5A4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0" b="97576" l="9508" r="89508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8428" y="140609"/>
          <a:ext cx="1037222" cy="512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1659566</xdr:colOff>
      <xdr:row>3</xdr:row>
      <xdr:rowOff>48532</xdr:rowOff>
    </xdr:to>
    <xdr:pic>
      <xdr:nvPicPr>
        <xdr:cNvPr id="7" name="Picture 16">
          <a:extLst>
            <a:ext uri="{FF2B5EF4-FFF2-40B4-BE49-F238E27FC236}">
              <a16:creationId xmlns:a16="http://schemas.microsoft.com/office/drawing/2014/main" id="{15A2ACD5-ECE1-4B94-A43A-CDED14E65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713995" cy="861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0070C0"/>
  </sheetPr>
  <dimension ref="A2:N24"/>
  <sheetViews>
    <sheetView showGridLines="0" topLeftCell="A2" zoomScale="115" zoomScaleNormal="115" workbookViewId="0">
      <selection activeCell="H17" sqref="H17"/>
    </sheetView>
  </sheetViews>
  <sheetFormatPr defaultColWidth="0" defaultRowHeight="15" zeroHeight="1"/>
  <cols>
    <col min="1" max="1" width="8.140625" customWidth="1"/>
    <col min="2" max="13" width="9.140625" customWidth="1"/>
    <col min="14" max="14" width="2.85546875" hidden="1" customWidth="1"/>
    <col min="15" max="16384" width="9.140625" hidden="1"/>
  </cols>
  <sheetData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tabColor rgb="FF0070C0"/>
    <pageSetUpPr fitToPage="1"/>
  </sheetPr>
  <dimension ref="A1:AO38"/>
  <sheetViews>
    <sheetView showGridLines="0" tabSelected="1" zoomScale="85" zoomScaleNormal="85" workbookViewId="0">
      <pane xSplit="3" ySplit="5" topLeftCell="D6" activePane="bottomRight" state="frozen"/>
      <selection activeCell="AC37" sqref="AC37"/>
      <selection pane="topRight" activeCell="AC37" sqref="AC37"/>
      <selection pane="bottomLeft" activeCell="AC37" sqref="AC37"/>
      <selection pane="bottomRight" activeCell="B2" sqref="B2"/>
    </sheetView>
  </sheetViews>
  <sheetFormatPr defaultColWidth="8.85546875" defaultRowHeight="15" outlineLevelCol="1"/>
  <cols>
    <col min="1" max="1" width="11.140625" style="129" hidden="1" customWidth="1"/>
    <col min="2" max="2" width="50.5703125" customWidth="1" outlineLevel="1"/>
    <col min="3" max="3" width="50.5703125" customWidth="1"/>
    <col min="4" max="23" width="14.140625" hidden="1" customWidth="1" outlineLevel="1"/>
    <col min="24" max="24" width="14.140625" customWidth="1" collapsed="1"/>
    <col min="25" max="31" width="14.140625" customWidth="1"/>
    <col min="32" max="32" width="12.28515625" bestFit="1" customWidth="1"/>
    <col min="33" max="35" width="13.42578125" bestFit="1" customWidth="1"/>
    <col min="36" max="41" width="14.140625" customWidth="1"/>
  </cols>
  <sheetData>
    <row r="1" spans="1:39" ht="1.5" customHeight="1"/>
    <row r="2" spans="1:39" ht="60" customHeight="1"/>
    <row r="3" spans="1:39" ht="3" customHeight="1"/>
    <row r="4" spans="1:39" ht="16.5">
      <c r="B4" s="2" t="s">
        <v>350</v>
      </c>
      <c r="C4" s="2" t="s">
        <v>289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9" ht="16.5">
      <c r="B5" s="5" t="s">
        <v>10</v>
      </c>
      <c r="C5" s="6" t="s">
        <v>195</v>
      </c>
      <c r="D5" s="7" t="s">
        <v>20</v>
      </c>
      <c r="E5" s="8" t="s">
        <v>21</v>
      </c>
      <c r="F5" s="7" t="s">
        <v>22</v>
      </c>
      <c r="G5" s="7" t="s">
        <v>23</v>
      </c>
      <c r="H5" s="7" t="s">
        <v>24</v>
      </c>
      <c r="I5" s="8" t="s">
        <v>25</v>
      </c>
      <c r="J5" s="8" t="s">
        <v>26</v>
      </c>
      <c r="K5" s="8" t="s">
        <v>27</v>
      </c>
      <c r="L5" s="8" t="s">
        <v>28</v>
      </c>
      <c r="M5" s="8" t="s">
        <v>29</v>
      </c>
      <c r="N5" s="8" t="s">
        <v>30</v>
      </c>
      <c r="O5" s="8" t="s">
        <v>31</v>
      </c>
      <c r="P5" s="8" t="s">
        <v>32</v>
      </c>
      <c r="Q5" s="8" t="s">
        <v>33</v>
      </c>
      <c r="R5" s="8" t="s">
        <v>34</v>
      </c>
      <c r="S5" s="8" t="s">
        <v>35</v>
      </c>
      <c r="T5" s="8" t="s">
        <v>36</v>
      </c>
      <c r="U5" s="8" t="s">
        <v>183</v>
      </c>
      <c r="V5" s="8" t="s">
        <v>187</v>
      </c>
      <c r="W5" s="8" t="s">
        <v>188</v>
      </c>
      <c r="X5" s="8" t="s">
        <v>189</v>
      </c>
      <c r="Y5" s="8" t="s">
        <v>302</v>
      </c>
      <c r="Z5" s="8" t="s">
        <v>354</v>
      </c>
      <c r="AA5" s="8" t="s">
        <v>355</v>
      </c>
      <c r="AB5" s="8" t="s">
        <v>393</v>
      </c>
      <c r="AC5" s="8" t="s">
        <v>398</v>
      </c>
      <c r="AD5" s="8" t="s">
        <v>428</v>
      </c>
      <c r="AE5" s="8" t="s">
        <v>435</v>
      </c>
      <c r="AF5" s="8" t="s">
        <v>438</v>
      </c>
      <c r="AG5" s="8" t="s">
        <v>439</v>
      </c>
      <c r="AH5" s="8" t="s">
        <v>442</v>
      </c>
      <c r="AI5" s="8" t="s">
        <v>443</v>
      </c>
    </row>
    <row r="6" spans="1:39" ht="16.5">
      <c r="A6" s="129" t="s">
        <v>366</v>
      </c>
      <c r="B6" s="9" t="s">
        <v>11</v>
      </c>
      <c r="C6" s="9" t="s">
        <v>196</v>
      </c>
      <c r="D6" s="76">
        <v>10744.308000000001</v>
      </c>
      <c r="E6" s="76">
        <v>11300.388000000001</v>
      </c>
      <c r="F6" s="76">
        <v>14097.254000000001</v>
      </c>
      <c r="G6" s="76">
        <v>11741.308000000001</v>
      </c>
      <c r="H6" s="76">
        <v>10833.147000000001</v>
      </c>
      <c r="I6" s="76">
        <v>13112.074000000001</v>
      </c>
      <c r="J6" s="76">
        <v>12093.83</v>
      </c>
      <c r="K6" s="76">
        <v>8935.7790000000005</v>
      </c>
      <c r="L6" s="76">
        <v>7413.15</v>
      </c>
      <c r="M6" s="76">
        <v>6292.0889999999999</v>
      </c>
      <c r="N6" s="76">
        <v>7813.5320000000002</v>
      </c>
      <c r="O6" s="76">
        <v>10033.967000000001</v>
      </c>
      <c r="P6" s="76">
        <v>18466.199000000001</v>
      </c>
      <c r="Q6" s="76">
        <v>22675.561000000002</v>
      </c>
      <c r="R6" s="76">
        <v>22333.106</v>
      </c>
      <c r="S6" s="76">
        <v>19679.742999999999</v>
      </c>
      <c r="T6" s="76">
        <v>10258.531999999999</v>
      </c>
      <c r="U6" s="76">
        <v>16840.599999999999</v>
      </c>
      <c r="V6" s="76">
        <v>23332.141</v>
      </c>
      <c r="W6" s="76">
        <v>23239.15</v>
      </c>
      <c r="X6" s="76">
        <v>17281.756000000001</v>
      </c>
      <c r="Y6" s="76">
        <v>19330.433000000001</v>
      </c>
      <c r="Z6" s="76">
        <v>16665.128000000001</v>
      </c>
      <c r="AA6" s="76">
        <v>13182.157999999999</v>
      </c>
      <c r="AB6" s="76">
        <v>8964.6740000000009</v>
      </c>
      <c r="AC6" s="76">
        <v>12738.71192217524</v>
      </c>
      <c r="AD6" s="76">
        <v>26789.824023130048</v>
      </c>
      <c r="AE6" s="76">
        <v>22122.404910812744</v>
      </c>
      <c r="AF6" s="76">
        <v>16477.430540262161</v>
      </c>
      <c r="AG6" s="76">
        <v>20514.018294802008</v>
      </c>
      <c r="AH6" s="76">
        <v>27622.1647696855</v>
      </c>
      <c r="AI6" s="76">
        <v>34761.539585002502</v>
      </c>
    </row>
    <row r="7" spans="1:39" ht="16.5">
      <c r="A7" s="129" t="s">
        <v>367</v>
      </c>
      <c r="B7" s="9" t="s">
        <v>184</v>
      </c>
      <c r="C7" s="9" t="s">
        <v>197</v>
      </c>
      <c r="D7" s="76">
        <v>0</v>
      </c>
      <c r="E7" s="76">
        <v>0</v>
      </c>
      <c r="F7" s="76">
        <v>0</v>
      </c>
      <c r="G7" s="76">
        <v>0</v>
      </c>
      <c r="H7" s="76">
        <v>0</v>
      </c>
      <c r="I7" s="76">
        <v>0</v>
      </c>
      <c r="J7" s="76">
        <v>0</v>
      </c>
      <c r="K7" s="76">
        <v>0</v>
      </c>
      <c r="L7" s="76">
        <v>0</v>
      </c>
      <c r="M7" s="76">
        <v>0</v>
      </c>
      <c r="N7" s="76">
        <v>0</v>
      </c>
      <c r="O7" s="76">
        <v>0</v>
      </c>
      <c r="P7" s="76">
        <v>0</v>
      </c>
      <c r="Q7" s="76">
        <v>0</v>
      </c>
      <c r="R7" s="76">
        <v>0</v>
      </c>
      <c r="S7" s="76">
        <v>0</v>
      </c>
      <c r="T7" s="76">
        <v>0</v>
      </c>
      <c r="U7" s="76">
        <v>1281.133</v>
      </c>
      <c r="V7" s="76">
        <v>1146.905</v>
      </c>
      <c r="W7" s="76">
        <v>1245.354</v>
      </c>
      <c r="X7" s="76">
        <v>1239.28</v>
      </c>
      <c r="Y7" s="76">
        <v>776.17200000000003</v>
      </c>
      <c r="Z7" s="76">
        <v>595.596</v>
      </c>
      <c r="AA7" s="76">
        <v>679.39099999999996</v>
      </c>
      <c r="AB7" s="76">
        <v>403.56900000000002</v>
      </c>
      <c r="AC7" s="76">
        <v>810.0269546210385</v>
      </c>
      <c r="AD7" s="76">
        <v>935.25833915892565</v>
      </c>
      <c r="AE7" s="76">
        <v>641.28311081133995</v>
      </c>
      <c r="AF7" s="76">
        <v>845.0535348550485</v>
      </c>
      <c r="AG7" s="76">
        <v>903.42760581493098</v>
      </c>
      <c r="AH7" s="76">
        <v>912.37434514121196</v>
      </c>
      <c r="AI7" s="76">
        <v>845.58066792500699</v>
      </c>
    </row>
    <row r="8" spans="1:39" ht="16.5">
      <c r="A8" s="129" t="s">
        <v>368</v>
      </c>
      <c r="B8" s="9" t="s">
        <v>12</v>
      </c>
      <c r="C8" s="9" t="s">
        <v>198</v>
      </c>
      <c r="D8" s="76">
        <v>8085.94</v>
      </c>
      <c r="E8" s="76">
        <v>9782.7000000000007</v>
      </c>
      <c r="F8" s="76">
        <v>9391.6110000000008</v>
      </c>
      <c r="G8" s="76">
        <v>9333.2909999999993</v>
      </c>
      <c r="H8" s="76">
        <v>9056.9879999999994</v>
      </c>
      <c r="I8" s="76">
        <v>9617.4310000000005</v>
      </c>
      <c r="J8" s="76">
        <v>9827.6389999999992</v>
      </c>
      <c r="K8" s="76">
        <v>9657.01</v>
      </c>
      <c r="L8" s="76">
        <v>8986.7890000000007</v>
      </c>
      <c r="M8" s="76">
        <v>8787.3739999999998</v>
      </c>
      <c r="N8" s="76">
        <v>9174.8150000000005</v>
      </c>
      <c r="O8" s="76">
        <v>11136.621999999999</v>
      </c>
      <c r="P8" s="76">
        <v>13382.62</v>
      </c>
      <c r="Q8" s="76">
        <v>13615.754999999999</v>
      </c>
      <c r="R8" s="76">
        <v>13399.489</v>
      </c>
      <c r="S8" s="76">
        <v>14001.210999999999</v>
      </c>
      <c r="T8" s="76">
        <v>15161.156999999999</v>
      </c>
      <c r="U8" s="76">
        <v>16414.935000000001</v>
      </c>
      <c r="V8" s="76">
        <v>18541.455000000002</v>
      </c>
      <c r="W8" s="76">
        <v>19877.407999999999</v>
      </c>
      <c r="X8" s="76">
        <v>17540.401999999998</v>
      </c>
      <c r="Y8" s="76">
        <v>20946.969000000001</v>
      </c>
      <c r="Z8" s="76">
        <v>21255.62</v>
      </c>
      <c r="AA8" s="76">
        <v>20234.895</v>
      </c>
      <c r="AB8" s="76">
        <v>18825.577000000001</v>
      </c>
      <c r="AC8" s="76">
        <v>16665.448966168315</v>
      </c>
      <c r="AD8" s="76">
        <v>16454.419027004144</v>
      </c>
      <c r="AE8" s="76">
        <v>16416.148732735608</v>
      </c>
      <c r="AF8" s="76">
        <v>16679.678717830793</v>
      </c>
      <c r="AG8" s="76">
        <v>18291.752197616599</v>
      </c>
      <c r="AH8" s="76">
        <v>18480.150029308104</v>
      </c>
      <c r="AI8" s="76">
        <v>23131.583996758101</v>
      </c>
      <c r="AJ8" s="11"/>
      <c r="AK8" s="11"/>
      <c r="AL8" s="11"/>
      <c r="AM8" s="11"/>
    </row>
    <row r="9" spans="1:39" ht="16.5">
      <c r="A9" s="129" t="s">
        <v>369</v>
      </c>
      <c r="B9" s="9" t="s">
        <v>13</v>
      </c>
      <c r="C9" s="9" t="s">
        <v>199</v>
      </c>
      <c r="D9" s="76">
        <v>10386.575999999999</v>
      </c>
      <c r="E9" s="76">
        <v>10044.983</v>
      </c>
      <c r="F9" s="76">
        <v>9627.3760000000002</v>
      </c>
      <c r="G9" s="76">
        <v>9684.8780000000006</v>
      </c>
      <c r="H9" s="76">
        <v>10443.284</v>
      </c>
      <c r="I9" s="76">
        <v>11883.843999999999</v>
      </c>
      <c r="J9" s="76">
        <v>12096.88</v>
      </c>
      <c r="K9" s="76">
        <v>11311.734</v>
      </c>
      <c r="L9" s="76">
        <v>12690.038</v>
      </c>
      <c r="M9" s="76">
        <v>12619.81</v>
      </c>
      <c r="N9" s="76">
        <v>13722.324000000001</v>
      </c>
      <c r="O9" s="76">
        <v>13439.591</v>
      </c>
      <c r="P9" s="76">
        <v>17254.603999999999</v>
      </c>
      <c r="Q9" s="76">
        <v>17671.403999999999</v>
      </c>
      <c r="R9" s="76">
        <v>18883.976999999999</v>
      </c>
      <c r="S9" s="76">
        <v>17586.743999999999</v>
      </c>
      <c r="T9" s="76">
        <v>21168.543000000001</v>
      </c>
      <c r="U9" s="76">
        <v>22402.897000000001</v>
      </c>
      <c r="V9" s="76">
        <v>24382.379000000001</v>
      </c>
      <c r="W9" s="76">
        <v>26542.008999999998</v>
      </c>
      <c r="X9" s="76">
        <v>26347.924999999999</v>
      </c>
      <c r="Y9" s="76">
        <v>28732.348000000002</v>
      </c>
      <c r="Z9" s="76">
        <v>30170.504000000001</v>
      </c>
      <c r="AA9" s="76">
        <v>28142.094000000001</v>
      </c>
      <c r="AB9" s="76">
        <v>28218.687999999998</v>
      </c>
      <c r="AC9" s="76">
        <v>26373.579900576668</v>
      </c>
      <c r="AD9" s="76">
        <v>26557.27950080044</v>
      </c>
      <c r="AE9" s="76">
        <v>24696.583323808711</v>
      </c>
      <c r="AF9" s="76">
        <v>26203.803484667736</v>
      </c>
      <c r="AG9" s="76">
        <v>28665.9285454036</v>
      </c>
      <c r="AH9" s="76">
        <v>29811.0834906993</v>
      </c>
      <c r="AI9" s="76">
        <v>31060.507410036502</v>
      </c>
      <c r="AJ9" s="11"/>
      <c r="AK9" s="11"/>
      <c r="AL9" s="11"/>
      <c r="AM9" s="11"/>
    </row>
    <row r="10" spans="1:39" ht="16.5">
      <c r="A10" s="129" t="s">
        <v>370</v>
      </c>
      <c r="B10" s="9" t="s">
        <v>14</v>
      </c>
      <c r="C10" s="9" t="s">
        <v>200</v>
      </c>
      <c r="D10" s="76">
        <v>2672.6619999999998</v>
      </c>
      <c r="E10" s="76">
        <v>2670.64</v>
      </c>
      <c r="F10" s="76">
        <v>2487.6689999999999</v>
      </c>
      <c r="G10" s="76">
        <v>2767.25</v>
      </c>
      <c r="H10" s="76">
        <v>2762.0549999999998</v>
      </c>
      <c r="I10" s="76">
        <v>3093.44</v>
      </c>
      <c r="J10" s="76">
        <v>3269.52</v>
      </c>
      <c r="K10" s="76">
        <v>3190.953</v>
      </c>
      <c r="L10" s="76">
        <v>3453.9850000000001</v>
      </c>
      <c r="M10" s="76">
        <v>3183.4549999999999</v>
      </c>
      <c r="N10" s="76">
        <v>3628.6379999999999</v>
      </c>
      <c r="O10" s="76">
        <v>3906.0039999999999</v>
      </c>
      <c r="P10" s="76">
        <v>4334.8270000000002</v>
      </c>
      <c r="Q10" s="76">
        <v>4391.3950000000004</v>
      </c>
      <c r="R10" s="76">
        <v>4998.6090000000004</v>
      </c>
      <c r="S10" s="76">
        <v>5115.72</v>
      </c>
      <c r="T10" s="76">
        <v>6490.7449999999999</v>
      </c>
      <c r="U10" s="76">
        <v>6436.192</v>
      </c>
      <c r="V10" s="76">
        <v>6475.2860000000001</v>
      </c>
      <c r="W10" s="76">
        <v>7409.0919999999996</v>
      </c>
      <c r="X10" s="76">
        <v>7442.2719999999999</v>
      </c>
      <c r="Y10" s="76">
        <v>8331.7999999999993</v>
      </c>
      <c r="Z10" s="76">
        <v>8700.6919999999991</v>
      </c>
      <c r="AA10" s="76">
        <v>9710.6929999999993</v>
      </c>
      <c r="AB10" s="76">
        <v>8872.3410000000003</v>
      </c>
      <c r="AC10" s="76">
        <v>8391.6528405868339</v>
      </c>
      <c r="AD10" s="76">
        <v>8406.7500233120718</v>
      </c>
      <c r="AE10" s="76">
        <v>8289.0475384329802</v>
      </c>
      <c r="AF10" s="76">
        <v>8587.408567542594</v>
      </c>
      <c r="AG10" s="76">
        <v>8614.3365504565918</v>
      </c>
      <c r="AH10" s="76">
        <v>8662.5004169395907</v>
      </c>
      <c r="AI10" s="76">
        <v>9958.5992817445403</v>
      </c>
      <c r="AJ10" s="11"/>
    </row>
    <row r="11" spans="1:39" ht="16.5">
      <c r="A11" s="129" t="s">
        <v>371</v>
      </c>
      <c r="B11" s="9" t="s">
        <v>15</v>
      </c>
      <c r="C11" s="9" t="s">
        <v>201</v>
      </c>
      <c r="D11" s="76">
        <v>1732.1179999999999</v>
      </c>
      <c r="E11" s="76">
        <v>1165.01</v>
      </c>
      <c r="F11" s="76">
        <v>950.76099999999997</v>
      </c>
      <c r="G11" s="76">
        <v>974.404</v>
      </c>
      <c r="H11" s="76">
        <v>1032.1400000000001</v>
      </c>
      <c r="I11" s="76">
        <v>1004.948</v>
      </c>
      <c r="J11" s="76">
        <v>1480.3150000000001</v>
      </c>
      <c r="K11" s="76">
        <v>2210.038</v>
      </c>
      <c r="L11" s="76">
        <v>1795.2529999999999</v>
      </c>
      <c r="M11" s="76">
        <v>1755.4369999999999</v>
      </c>
      <c r="N11" s="76">
        <v>1276.81</v>
      </c>
      <c r="O11" s="76">
        <v>2351.152</v>
      </c>
      <c r="P11" s="76">
        <v>3063.2489999999998</v>
      </c>
      <c r="Q11" s="76">
        <v>2419.5309999999999</v>
      </c>
      <c r="R11" s="76">
        <v>2837.5070000000001</v>
      </c>
      <c r="S11" s="76">
        <v>2849.8980000000001</v>
      </c>
      <c r="T11" s="76">
        <v>2880.0279999999998</v>
      </c>
      <c r="U11" s="76">
        <v>2857.5070000000001</v>
      </c>
      <c r="V11" s="76">
        <v>3021.8470000000002</v>
      </c>
      <c r="W11" s="76">
        <v>3204.9229999999998</v>
      </c>
      <c r="X11" s="76">
        <v>2678.44</v>
      </c>
      <c r="Y11" s="76">
        <v>3607.0659999999998</v>
      </c>
      <c r="Z11" s="76">
        <v>3900.4119999999998</v>
      </c>
      <c r="AA11" s="76">
        <v>5330.9279999999999</v>
      </c>
      <c r="AB11" s="76">
        <v>5383.8770000000004</v>
      </c>
      <c r="AC11" s="76">
        <v>5089.1283767657387</v>
      </c>
      <c r="AD11" s="76">
        <v>4463.2721951618851</v>
      </c>
      <c r="AE11" s="76">
        <v>4449.734123766395</v>
      </c>
      <c r="AF11" s="76">
        <v>4458.1122228522345</v>
      </c>
      <c r="AG11" s="76">
        <v>3708.2056740111998</v>
      </c>
      <c r="AH11" s="76">
        <v>3664.5515637649296</v>
      </c>
      <c r="AI11" s="76">
        <v>3949.0017579342998</v>
      </c>
      <c r="AJ11" s="11"/>
    </row>
    <row r="12" spans="1:39" ht="16.5">
      <c r="A12" s="129" t="s">
        <v>202</v>
      </c>
      <c r="B12" s="9" t="s">
        <v>16</v>
      </c>
      <c r="C12" s="9" t="s">
        <v>202</v>
      </c>
      <c r="D12" s="76">
        <v>43.162999999999997</v>
      </c>
      <c r="E12" s="76">
        <v>52.656999999999996</v>
      </c>
      <c r="F12" s="76">
        <v>161.08000000000001</v>
      </c>
      <c r="G12" s="76">
        <v>30.76</v>
      </c>
      <c r="H12" s="76">
        <v>434.30500000000001</v>
      </c>
      <c r="I12" s="76">
        <v>340.04199999999997</v>
      </c>
      <c r="J12" s="76">
        <v>89.763000000000005</v>
      </c>
      <c r="K12" s="76">
        <v>52.796999999999997</v>
      </c>
      <c r="L12" s="76">
        <v>83.936999999999998</v>
      </c>
      <c r="M12" s="76">
        <v>494.83499999999998</v>
      </c>
      <c r="N12" s="76">
        <v>201.535</v>
      </c>
      <c r="O12" s="76">
        <v>62.052999999999997</v>
      </c>
      <c r="P12" s="76">
        <v>1180.5530000000001</v>
      </c>
      <c r="Q12" s="76">
        <v>433.97199999999998</v>
      </c>
      <c r="R12" s="76">
        <v>251.779</v>
      </c>
      <c r="S12" s="76">
        <v>228.84</v>
      </c>
      <c r="T12" s="76">
        <v>513.53200000000004</v>
      </c>
      <c r="U12" s="76">
        <v>505.48700000000002</v>
      </c>
      <c r="V12" s="76">
        <v>910.178</v>
      </c>
      <c r="W12" s="76">
        <v>468.29199999999997</v>
      </c>
      <c r="X12" s="76">
        <v>775.50900000000001</v>
      </c>
      <c r="Y12" s="76">
        <v>543.45100000000002</v>
      </c>
      <c r="Z12" s="76">
        <v>524.03399999999999</v>
      </c>
      <c r="AA12" s="76">
        <v>442.92899999999997</v>
      </c>
      <c r="AB12" s="76">
        <v>249.875</v>
      </c>
      <c r="AC12" s="76">
        <v>461.66088804429558</v>
      </c>
      <c r="AD12" s="76">
        <v>775.31596974720776</v>
      </c>
      <c r="AE12" s="76">
        <v>425.04286496939204</v>
      </c>
      <c r="AF12" s="76">
        <v>216.20222167555141</v>
      </c>
      <c r="AG12" s="76">
        <v>224.34119271407801</v>
      </c>
      <c r="AH12" s="76">
        <v>499.59730148610004</v>
      </c>
      <c r="AI12" s="76">
        <v>523.04882368156598</v>
      </c>
      <c r="AJ12" s="11"/>
      <c r="AK12" s="11"/>
      <c r="AL12" s="11"/>
      <c r="AM12" s="11"/>
    </row>
    <row r="13" spans="1:39" ht="16.5">
      <c r="A13" s="129" t="s">
        <v>203</v>
      </c>
      <c r="B13" s="9" t="s">
        <v>18</v>
      </c>
      <c r="C13" s="9" t="s">
        <v>203</v>
      </c>
      <c r="D13" s="77">
        <v>930.42600000000004</v>
      </c>
      <c r="E13" s="77">
        <v>3207.1010000000001</v>
      </c>
      <c r="F13" s="77">
        <v>2103.2179999999998</v>
      </c>
      <c r="G13" s="77">
        <v>1573.653</v>
      </c>
      <c r="H13" s="77">
        <v>812.45299999999997</v>
      </c>
      <c r="I13" s="77">
        <v>850.04200000000003</v>
      </c>
      <c r="J13" s="77">
        <v>997.995</v>
      </c>
      <c r="K13" s="77">
        <v>1541.2380000000001</v>
      </c>
      <c r="L13" s="77">
        <v>1396.251</v>
      </c>
      <c r="M13" s="77">
        <v>1068.8789999999999</v>
      </c>
      <c r="N13" s="77">
        <v>1232.039</v>
      </c>
      <c r="O13" s="77">
        <v>994.98500000000001</v>
      </c>
      <c r="P13" s="77">
        <v>1075.152</v>
      </c>
      <c r="Q13" s="77">
        <v>1131.393</v>
      </c>
      <c r="R13" s="77">
        <v>1274.2860000000001</v>
      </c>
      <c r="S13" s="77">
        <v>1075.143</v>
      </c>
      <c r="T13" s="77">
        <v>1333.769</v>
      </c>
      <c r="U13" s="77">
        <v>1417.624</v>
      </c>
      <c r="V13" s="77">
        <v>1557.6610000000001</v>
      </c>
      <c r="W13" s="76">
        <v>1927.9780000000001</v>
      </c>
      <c r="X13" s="77">
        <v>1675.9590000000001</v>
      </c>
      <c r="Y13" s="76">
        <v>1739.07</v>
      </c>
      <c r="Z13" s="76">
        <v>1734.2660000000001</v>
      </c>
      <c r="AA13" s="76">
        <v>1667.982</v>
      </c>
      <c r="AB13" s="76">
        <v>1698.692</v>
      </c>
      <c r="AC13" s="76">
        <v>1717.5141891432399</v>
      </c>
      <c r="AD13" s="76">
        <v>1867.0689626342198</v>
      </c>
      <c r="AE13" s="76">
        <v>1564.6783072932399</v>
      </c>
      <c r="AF13" s="76">
        <v>1637.64741874111</v>
      </c>
      <c r="AG13" s="76">
        <v>2098.0224864986799</v>
      </c>
      <c r="AH13" s="76">
        <v>1990.1070394517199</v>
      </c>
      <c r="AI13" s="76">
        <v>1788.5943931872303</v>
      </c>
      <c r="AJ13" s="11"/>
      <c r="AK13" s="11"/>
      <c r="AL13" s="11"/>
      <c r="AM13" s="11"/>
    </row>
    <row r="14" spans="1:39" ht="16.5"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1"/>
    </row>
    <row r="15" spans="1:39" ht="16.5">
      <c r="B15" s="57" t="s">
        <v>19</v>
      </c>
      <c r="C15" s="57" t="s">
        <v>204</v>
      </c>
      <c r="D15" s="78">
        <f t="shared" ref="D15:S15" si="0">SUM(D6:D13)</f>
        <v>34595.192999999999</v>
      </c>
      <c r="E15" s="78">
        <f t="shared" si="0"/>
        <v>38223.479000000007</v>
      </c>
      <c r="F15" s="78">
        <f t="shared" si="0"/>
        <v>38818.969000000005</v>
      </c>
      <c r="G15" s="78">
        <f t="shared" si="0"/>
        <v>36105.544000000002</v>
      </c>
      <c r="H15" s="78">
        <f t="shared" si="0"/>
        <v>35374.372000000003</v>
      </c>
      <c r="I15" s="78">
        <f t="shared" si="0"/>
        <v>39901.821000000004</v>
      </c>
      <c r="J15" s="78">
        <f t="shared" si="0"/>
        <v>39855.941999999995</v>
      </c>
      <c r="K15" s="78">
        <f t="shared" si="0"/>
        <v>36899.548999999999</v>
      </c>
      <c r="L15" s="78">
        <f t="shared" si="0"/>
        <v>35819.402999999991</v>
      </c>
      <c r="M15" s="78">
        <f t="shared" si="0"/>
        <v>34201.879000000001</v>
      </c>
      <c r="N15" s="78">
        <f t="shared" si="0"/>
        <v>37049.692999999999</v>
      </c>
      <c r="O15" s="78">
        <f t="shared" si="0"/>
        <v>41924.374000000003</v>
      </c>
      <c r="P15" s="78">
        <f t="shared" si="0"/>
        <v>58757.203999999998</v>
      </c>
      <c r="Q15" s="78">
        <f t="shared" si="0"/>
        <v>62339.011000000013</v>
      </c>
      <c r="R15" s="78">
        <f t="shared" si="0"/>
        <v>63978.752999999997</v>
      </c>
      <c r="S15" s="78">
        <f t="shared" si="0"/>
        <v>60537.298999999999</v>
      </c>
      <c r="T15" s="78">
        <v>57806.306000000004</v>
      </c>
      <c r="U15" s="78">
        <v>68156.375</v>
      </c>
      <c r="V15" s="78">
        <v>79367.851999999984</v>
      </c>
      <c r="W15" s="78">
        <v>83914.206000000006</v>
      </c>
      <c r="X15" s="78">
        <v>74981.543000000005</v>
      </c>
      <c r="Y15" s="78">
        <v>84007.309000000023</v>
      </c>
      <c r="Z15" s="78">
        <v>83546.251999999993</v>
      </c>
      <c r="AA15" s="78">
        <v>79391.070000000007</v>
      </c>
      <c r="AB15" s="78">
        <f>SUM(AB6:AB13)</f>
        <v>72617.292999999991</v>
      </c>
      <c r="AC15" s="78">
        <f>SUM(AC6:AC13)</f>
        <v>72247.724038081375</v>
      </c>
      <c r="AD15" s="78">
        <v>86249.188040948953</v>
      </c>
      <c r="AE15" s="78">
        <f>SUM(AE6:AE13)</f>
        <v>78604.922912630413</v>
      </c>
      <c r="AF15" s="78">
        <f>SUM(AF6:AF13)</f>
        <v>75105.336708427218</v>
      </c>
      <c r="AG15" s="78">
        <f>SUM(AG6:AG13)</f>
        <v>83020.032547317693</v>
      </c>
      <c r="AH15" s="78">
        <f>SUM(AH6:AH13)</f>
        <v>91642.528956476424</v>
      </c>
      <c r="AI15" s="78">
        <f>SUM(AI6:AI13)</f>
        <v>106018.45591626976</v>
      </c>
      <c r="AJ15" s="11"/>
    </row>
    <row r="16" spans="1:39" ht="16.5">
      <c r="B16" s="14"/>
      <c r="C16" s="14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1"/>
      <c r="AK16" s="11"/>
    </row>
    <row r="17" spans="1:41" ht="16.5">
      <c r="B17" s="5" t="s">
        <v>37</v>
      </c>
      <c r="C17" s="6" t="s">
        <v>205</v>
      </c>
      <c r="D17" s="7" t="s">
        <v>20</v>
      </c>
      <c r="E17" s="8" t="s">
        <v>21</v>
      </c>
      <c r="F17" s="7" t="s">
        <v>22</v>
      </c>
      <c r="G17" s="7" t="s">
        <v>23</v>
      </c>
      <c r="H17" s="7" t="s">
        <v>24</v>
      </c>
      <c r="I17" s="8" t="s">
        <v>25</v>
      </c>
      <c r="J17" s="8" t="s">
        <v>26</v>
      </c>
      <c r="K17" s="8" t="s">
        <v>27</v>
      </c>
      <c r="L17" s="8" t="s">
        <v>28</v>
      </c>
      <c r="M17" s="8" t="s">
        <v>29</v>
      </c>
      <c r="N17" s="8" t="s">
        <v>30</v>
      </c>
      <c r="O17" s="8" t="s">
        <v>31</v>
      </c>
      <c r="P17" s="8" t="s">
        <v>32</v>
      </c>
      <c r="Q17" s="8" t="s">
        <v>33</v>
      </c>
      <c r="R17" s="8" t="s">
        <v>34</v>
      </c>
      <c r="S17" s="8" t="s">
        <v>35</v>
      </c>
      <c r="T17" s="8" t="s">
        <v>36</v>
      </c>
      <c r="U17" s="8" t="s">
        <v>183</v>
      </c>
      <c r="V17" s="8" t="s">
        <v>187</v>
      </c>
      <c r="W17" s="8" t="s">
        <v>188</v>
      </c>
      <c r="X17" s="8" t="s">
        <v>189</v>
      </c>
      <c r="Y17" s="8" t="s">
        <v>302</v>
      </c>
      <c r="Z17" s="8" t="s">
        <v>354</v>
      </c>
      <c r="AA17" s="8" t="s">
        <v>355</v>
      </c>
      <c r="AB17" s="8" t="s">
        <v>393</v>
      </c>
      <c r="AC17" s="8" t="s">
        <v>398</v>
      </c>
      <c r="AD17" s="8" t="s">
        <v>428</v>
      </c>
      <c r="AE17" s="8" t="str">
        <f>AE5</f>
        <v>4Q23</v>
      </c>
      <c r="AF17" s="8" t="str">
        <f>AF5</f>
        <v>1Q24</v>
      </c>
      <c r="AG17" s="8" t="s">
        <v>439</v>
      </c>
      <c r="AH17" s="8" t="s">
        <v>442</v>
      </c>
      <c r="AI17" s="8" t="s">
        <v>443</v>
      </c>
      <c r="AJ17" s="11"/>
      <c r="AK17" s="11"/>
    </row>
    <row r="18" spans="1:41" ht="16.5">
      <c r="A18" s="129" t="s">
        <v>371</v>
      </c>
      <c r="B18" s="9" t="s">
        <v>15</v>
      </c>
      <c r="C18" s="9" t="s">
        <v>201</v>
      </c>
      <c r="D18" s="76">
        <v>4678.7730000000001</v>
      </c>
      <c r="E18" s="76">
        <v>5052.5389999999998</v>
      </c>
      <c r="F18" s="76">
        <v>7060.2489999999998</v>
      </c>
      <c r="G18" s="76">
        <v>7521.1409999999996</v>
      </c>
      <c r="H18" s="76">
        <v>7778.3909999999996</v>
      </c>
      <c r="I18" s="76">
        <v>8097.8370000000004</v>
      </c>
      <c r="J18" s="76">
        <v>8287.143</v>
      </c>
      <c r="K18" s="76">
        <v>9073.34</v>
      </c>
      <c r="L18" s="76">
        <v>8891.1470000000008</v>
      </c>
      <c r="M18" s="76">
        <v>9078.7919999999995</v>
      </c>
      <c r="N18" s="76">
        <v>9344.6710000000003</v>
      </c>
      <c r="O18" s="76">
        <v>7001.48</v>
      </c>
      <c r="P18" s="76">
        <v>6878.1509999999998</v>
      </c>
      <c r="Q18" s="76">
        <v>6857.6009999999997</v>
      </c>
      <c r="R18" s="76">
        <v>6922.2979999999998</v>
      </c>
      <c r="S18" s="76">
        <v>8546.4950000000008</v>
      </c>
      <c r="T18" s="76">
        <v>8227.7440000000006</v>
      </c>
      <c r="U18" s="76">
        <v>7746.2910000000002</v>
      </c>
      <c r="V18" s="76">
        <v>8114.2809999999999</v>
      </c>
      <c r="W18" s="76">
        <v>7890.6989999999996</v>
      </c>
      <c r="X18" s="76">
        <v>7689.4629999999997</v>
      </c>
      <c r="Y18" s="76">
        <v>8183.57</v>
      </c>
      <c r="Z18" s="76">
        <v>8078.1750000000002</v>
      </c>
      <c r="AA18" s="76">
        <v>9165.5689999999995</v>
      </c>
      <c r="AB18" s="76">
        <v>8812.0669999999991</v>
      </c>
      <c r="AC18" s="76">
        <v>8524.7965186302008</v>
      </c>
      <c r="AD18" s="76">
        <v>8122.1486836480235</v>
      </c>
      <c r="AE18" s="76">
        <v>8444.5596813263801</v>
      </c>
      <c r="AF18" s="76">
        <v>8733.7092135985185</v>
      </c>
      <c r="AG18" s="76">
        <v>8253.8345103599204</v>
      </c>
      <c r="AH18" s="76">
        <v>8371.2415712194597</v>
      </c>
      <c r="AI18" s="76">
        <v>8746.3432885676993</v>
      </c>
      <c r="AJ18" s="11"/>
      <c r="AK18" s="11"/>
    </row>
    <row r="19" spans="1:41" ht="16.5">
      <c r="A19" s="129" t="s">
        <v>372</v>
      </c>
      <c r="B19" s="9" t="s">
        <v>17</v>
      </c>
      <c r="C19" s="9" t="s">
        <v>206</v>
      </c>
      <c r="D19" s="76">
        <v>1135.0060000000001</v>
      </c>
      <c r="E19" s="76">
        <v>1004.114</v>
      </c>
      <c r="F19" s="76">
        <v>875.71299999999997</v>
      </c>
      <c r="G19" s="76">
        <v>897.53499999999997</v>
      </c>
      <c r="H19" s="76">
        <v>605.077</v>
      </c>
      <c r="I19" s="76">
        <v>707.57500000000005</v>
      </c>
      <c r="J19" s="76">
        <v>764.51499999999999</v>
      </c>
      <c r="K19" s="76">
        <v>0</v>
      </c>
      <c r="L19" s="76">
        <v>0</v>
      </c>
      <c r="M19" s="76">
        <v>0</v>
      </c>
      <c r="N19" s="76">
        <v>0</v>
      </c>
      <c r="O19" s="76">
        <v>275.178</v>
      </c>
      <c r="P19" s="76">
        <v>359.17599999999999</v>
      </c>
      <c r="Q19" s="76">
        <v>382.82</v>
      </c>
      <c r="R19" s="76">
        <v>409.548</v>
      </c>
      <c r="S19" s="76">
        <v>382.01900000000001</v>
      </c>
      <c r="T19" s="76">
        <v>412.34199999999998</v>
      </c>
      <c r="U19" s="76">
        <v>366.13099999999997</v>
      </c>
      <c r="V19" s="76">
        <v>402.63600000000002</v>
      </c>
      <c r="W19" s="76">
        <v>417.702</v>
      </c>
      <c r="X19" s="76">
        <v>405.565</v>
      </c>
      <c r="Y19" s="76">
        <v>406.334</v>
      </c>
      <c r="Z19" s="76">
        <v>407.10500000000002</v>
      </c>
      <c r="AA19" s="76">
        <v>951.02099999999996</v>
      </c>
      <c r="AB19" s="76">
        <v>964.87099999999998</v>
      </c>
      <c r="AC19" s="76">
        <v>974.45657164968202</v>
      </c>
      <c r="AD19" s="76">
        <v>976.4661603437952</v>
      </c>
      <c r="AE19" s="76">
        <v>573.95471582199298</v>
      </c>
      <c r="AF19" s="76">
        <v>583.10006101481883</v>
      </c>
      <c r="AG19" s="76">
        <v>588.08424971382794</v>
      </c>
      <c r="AH19" s="76">
        <v>590.51131970817198</v>
      </c>
      <c r="AI19" s="76">
        <v>479.00565090145602</v>
      </c>
      <c r="AJ19" s="11"/>
      <c r="AK19" s="11"/>
    </row>
    <row r="20" spans="1:41" ht="16.5">
      <c r="A20" s="129" t="s">
        <v>207</v>
      </c>
      <c r="B20" s="9" t="s">
        <v>38</v>
      </c>
      <c r="C20" s="9" t="s">
        <v>207</v>
      </c>
      <c r="D20" s="76">
        <v>501.30099999999999</v>
      </c>
      <c r="E20" s="76">
        <v>701.94899999999996</v>
      </c>
      <c r="F20" s="76">
        <v>489.99900000000002</v>
      </c>
      <c r="G20" s="76">
        <v>434.86099999999999</v>
      </c>
      <c r="H20" s="76">
        <v>602.77300000000002</v>
      </c>
      <c r="I20" s="76">
        <v>1212.933</v>
      </c>
      <c r="J20" s="76">
        <v>1661.3510000000001</v>
      </c>
      <c r="K20" s="76">
        <v>1159.4449999999999</v>
      </c>
      <c r="L20" s="76">
        <v>1625.865</v>
      </c>
      <c r="M20" s="76">
        <v>1726.23</v>
      </c>
      <c r="N20" s="76">
        <v>1894.223</v>
      </c>
      <c r="O20" s="76">
        <v>1506.1289999999999</v>
      </c>
      <c r="P20" s="76">
        <v>1606.57</v>
      </c>
      <c r="Q20" s="76">
        <v>1640.2239999999999</v>
      </c>
      <c r="R20" s="76">
        <v>1552.3389999999999</v>
      </c>
      <c r="S20" s="76">
        <v>1590.194</v>
      </c>
      <c r="T20" s="76">
        <v>1548.1120000000001</v>
      </c>
      <c r="U20" s="76">
        <v>1641.979</v>
      </c>
      <c r="V20" s="76">
        <v>1454.1969999999999</v>
      </c>
      <c r="W20" s="76">
        <v>1738.222</v>
      </c>
      <c r="X20" s="76">
        <v>1997.2750000000001</v>
      </c>
      <c r="Y20" s="76">
        <v>2649.0010000000002</v>
      </c>
      <c r="Z20" s="76">
        <v>2680.3049999999998</v>
      </c>
      <c r="AA20" s="76">
        <v>3161.3</v>
      </c>
      <c r="AB20" s="76">
        <v>3481.002</v>
      </c>
      <c r="AC20" s="76">
        <v>3577.264585289055</v>
      </c>
      <c r="AD20" s="76">
        <v>4052.9489742974347</v>
      </c>
      <c r="AE20" s="76">
        <v>3751.3346547004107</v>
      </c>
      <c r="AF20" s="76">
        <v>3747.2574529125091</v>
      </c>
      <c r="AG20" s="76">
        <v>3923.5244759359198</v>
      </c>
      <c r="AH20" s="76">
        <v>2420.0458150017603</v>
      </c>
      <c r="AI20" s="76">
        <v>4032.2919488197999</v>
      </c>
      <c r="AJ20" s="11"/>
      <c r="AK20" s="11"/>
      <c r="AL20" s="11"/>
      <c r="AM20" s="11"/>
      <c r="AN20" s="11"/>
      <c r="AO20" s="11"/>
    </row>
    <row r="21" spans="1:41" ht="16.5">
      <c r="A21" s="129" t="s">
        <v>208</v>
      </c>
      <c r="B21" s="9" t="s">
        <v>39</v>
      </c>
      <c r="C21" s="9" t="s">
        <v>208</v>
      </c>
      <c r="D21" s="76">
        <v>0</v>
      </c>
      <c r="E21" s="76">
        <v>0</v>
      </c>
      <c r="F21" s="76">
        <v>0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41.768999999999998</v>
      </c>
      <c r="T21" s="76">
        <v>0</v>
      </c>
      <c r="U21" s="76">
        <v>97.367999999999995</v>
      </c>
      <c r="V21" s="76">
        <v>1177.396</v>
      </c>
      <c r="W21" s="76">
        <v>1186.038</v>
      </c>
      <c r="X21" s="76">
        <v>989.101</v>
      </c>
      <c r="Y21" s="76">
        <v>931.66399999999999</v>
      </c>
      <c r="Z21" s="76">
        <v>989.11599999999999</v>
      </c>
      <c r="AA21" s="76">
        <v>1118.115</v>
      </c>
      <c r="AB21" s="76">
        <v>1135.096</v>
      </c>
      <c r="AC21" s="76">
        <v>1071.5866625351</v>
      </c>
      <c r="AD21" s="76">
        <v>1187.4431964114101</v>
      </c>
      <c r="AE21" s="76">
        <v>1545.4674204482201</v>
      </c>
      <c r="AF21" s="76">
        <v>1624.8368332931302</v>
      </c>
      <c r="AG21" s="76">
        <v>1746.7563823136402</v>
      </c>
      <c r="AH21" s="76">
        <v>1772.6883797634302</v>
      </c>
      <c r="AI21" s="76">
        <v>1664.1179883838502</v>
      </c>
      <c r="AK21" s="11"/>
      <c r="AL21" s="11"/>
      <c r="AM21" s="11"/>
      <c r="AN21" s="11"/>
      <c r="AO21" s="11"/>
    </row>
    <row r="22" spans="1:41" ht="16.5">
      <c r="A22" s="129" t="s">
        <v>202</v>
      </c>
      <c r="B22" s="9" t="s">
        <v>16</v>
      </c>
      <c r="C22" s="9" t="s">
        <v>202</v>
      </c>
      <c r="D22" s="76">
        <v>1065.4970000000001</v>
      </c>
      <c r="E22" s="76">
        <v>1069.9649999999999</v>
      </c>
      <c r="F22" s="76">
        <v>1075.5319999999999</v>
      </c>
      <c r="G22" s="76">
        <v>1141.682</v>
      </c>
      <c r="H22" s="76">
        <v>1107.704</v>
      </c>
      <c r="I22" s="76">
        <v>1119.0830000000001</v>
      </c>
      <c r="J22" s="76">
        <v>1105.1969999999999</v>
      </c>
      <c r="K22" s="76">
        <v>1056.0260000000001</v>
      </c>
      <c r="L22" s="76">
        <v>1027.605</v>
      </c>
      <c r="M22" s="76">
        <v>1023.566</v>
      </c>
      <c r="N22" s="76">
        <v>962.40200000000004</v>
      </c>
      <c r="O22" s="76">
        <v>931.98900000000003</v>
      </c>
      <c r="P22" s="76">
        <v>979.91300000000001</v>
      </c>
      <c r="Q22" s="76">
        <v>1253.066</v>
      </c>
      <c r="R22" s="76">
        <v>1142.7929999999999</v>
      </c>
      <c r="S22" s="76">
        <v>1094.1130000000001</v>
      </c>
      <c r="T22" s="76">
        <v>984.298</v>
      </c>
      <c r="U22" s="76">
        <v>1107.6210000000001</v>
      </c>
      <c r="V22" s="76">
        <v>74.004999999999995</v>
      </c>
      <c r="W22" s="76">
        <v>246.703</v>
      </c>
      <c r="X22" s="76">
        <v>281.101</v>
      </c>
      <c r="Y22" s="76">
        <v>359.10399999999998</v>
      </c>
      <c r="Z22" s="76">
        <v>256.642</v>
      </c>
      <c r="AA22" s="76">
        <v>123.215</v>
      </c>
      <c r="AB22" s="76">
        <v>167.852</v>
      </c>
      <c r="AC22" s="76">
        <v>598.32967238000003</v>
      </c>
      <c r="AD22" s="76">
        <v>375.31536650999999</v>
      </c>
      <c r="AE22" s="76">
        <v>396.69846401999996</v>
      </c>
      <c r="AF22" s="76">
        <v>254.62052430000003</v>
      </c>
      <c r="AG22" s="76">
        <v>49.477542560000003</v>
      </c>
      <c r="AH22" s="76">
        <v>0</v>
      </c>
      <c r="AI22" s="76">
        <v>0</v>
      </c>
      <c r="AJ22" s="11"/>
    </row>
    <row r="23" spans="1:41" ht="16.5">
      <c r="B23" s="9"/>
      <c r="C23" s="12"/>
      <c r="D23" s="81">
        <f t="shared" ref="D23:S23" si="1">SUM(D18:D22)</f>
        <v>7380.5770000000011</v>
      </c>
      <c r="E23" s="81">
        <f t="shared" si="1"/>
        <v>7828.567</v>
      </c>
      <c r="F23" s="81">
        <f t="shared" si="1"/>
        <v>9501.4929999999986</v>
      </c>
      <c r="G23" s="81">
        <f t="shared" si="1"/>
        <v>9995.219000000001</v>
      </c>
      <c r="H23" s="81">
        <f t="shared" si="1"/>
        <v>10093.944999999998</v>
      </c>
      <c r="I23" s="81">
        <f t="shared" si="1"/>
        <v>11137.428000000002</v>
      </c>
      <c r="J23" s="81">
        <f t="shared" si="1"/>
        <v>11818.206</v>
      </c>
      <c r="K23" s="81">
        <f t="shared" si="1"/>
        <v>11288.811</v>
      </c>
      <c r="L23" s="81">
        <f t="shared" si="1"/>
        <v>11544.617</v>
      </c>
      <c r="M23" s="81">
        <f t="shared" si="1"/>
        <v>11828.588</v>
      </c>
      <c r="N23" s="81">
        <f t="shared" si="1"/>
        <v>12201.296</v>
      </c>
      <c r="O23" s="81">
        <f t="shared" si="1"/>
        <v>9714.7759999999998</v>
      </c>
      <c r="P23" s="81">
        <f t="shared" si="1"/>
        <v>9823.8100000000013</v>
      </c>
      <c r="Q23" s="81">
        <f t="shared" si="1"/>
        <v>10133.710999999999</v>
      </c>
      <c r="R23" s="81">
        <f t="shared" si="1"/>
        <v>10026.977999999999</v>
      </c>
      <c r="S23" s="81">
        <f t="shared" si="1"/>
        <v>11654.59</v>
      </c>
      <c r="T23" s="81">
        <v>11172.496000000001</v>
      </c>
      <c r="U23" s="81">
        <v>10959.39</v>
      </c>
      <c r="V23" s="81">
        <v>11222.514999999999</v>
      </c>
      <c r="W23" s="81">
        <v>11479.364</v>
      </c>
      <c r="X23" s="81">
        <v>11362.505000000001</v>
      </c>
      <c r="Y23" s="81">
        <v>12529.673000000001</v>
      </c>
      <c r="Z23" s="81">
        <v>12411.343000000001</v>
      </c>
      <c r="AA23" s="81">
        <v>14519.22</v>
      </c>
      <c r="AB23" s="81">
        <f>SUM(AB18:AB22)</f>
        <v>14560.887999999999</v>
      </c>
      <c r="AC23" s="81">
        <f>SUM(AC18:AC22)</f>
        <v>14746.434010484036</v>
      </c>
      <c r="AD23" s="81">
        <v>14714.322381210663</v>
      </c>
      <c r="AE23" s="81">
        <f>SUM(AE18:AE22)</f>
        <v>14712.014936317006</v>
      </c>
      <c r="AF23" s="81">
        <f>SUM(AF18:AF22)</f>
        <v>14943.524085118976</v>
      </c>
      <c r="AG23" s="81">
        <f>SUM(AG18:AG22)</f>
        <v>14561.677160883308</v>
      </c>
      <c r="AH23" s="81">
        <f>SUM(AH18:AH22)</f>
        <v>13154.487085692823</v>
      </c>
      <c r="AI23" s="81">
        <f>SUM(AI18:AI22)</f>
        <v>14921.758876672806</v>
      </c>
      <c r="AJ23" s="11"/>
    </row>
    <row r="24" spans="1:41" ht="8.4499999999999993" customHeight="1"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1"/>
    </row>
    <row r="25" spans="1:41" ht="16.5">
      <c r="A25" s="129" t="s">
        <v>200</v>
      </c>
      <c r="B25" s="9" t="s">
        <v>14</v>
      </c>
      <c r="C25" s="9" t="s">
        <v>200</v>
      </c>
      <c r="D25" s="76">
        <v>984.05499999999995</v>
      </c>
      <c r="E25" s="76">
        <v>1018.212</v>
      </c>
      <c r="F25" s="76">
        <v>966.02099999999996</v>
      </c>
      <c r="G25" s="76">
        <v>967.76099999999997</v>
      </c>
      <c r="H25" s="76">
        <v>970.63699999999994</v>
      </c>
      <c r="I25" s="76">
        <v>1113.4590000000001</v>
      </c>
      <c r="J25" s="76">
        <v>1183.403</v>
      </c>
      <c r="K25" s="76">
        <v>1168.454</v>
      </c>
      <c r="L25" s="76">
        <v>1188.7080000000001</v>
      </c>
      <c r="M25" s="76">
        <v>1190.873</v>
      </c>
      <c r="N25" s="76">
        <v>1300.21</v>
      </c>
      <c r="O25" s="76">
        <v>1382.559</v>
      </c>
      <c r="P25" s="76">
        <v>1698.0129999999999</v>
      </c>
      <c r="Q25" s="76">
        <v>1761.876</v>
      </c>
      <c r="R25" s="76">
        <v>1817.7929999999999</v>
      </c>
      <c r="S25" s="76">
        <v>1778.5650000000001</v>
      </c>
      <c r="T25" s="76">
        <v>1980.3019999999999</v>
      </c>
      <c r="U25" s="76">
        <v>1854.7950000000001</v>
      </c>
      <c r="V25" s="76">
        <v>2072.0529999999999</v>
      </c>
      <c r="W25" s="76">
        <v>2245.0189999999998</v>
      </c>
      <c r="X25" s="76">
        <v>2113.5439999999999</v>
      </c>
      <c r="Y25" s="76">
        <v>2327.681</v>
      </c>
      <c r="Z25" s="76">
        <v>2467.0740000000001</v>
      </c>
      <c r="AA25" s="76">
        <v>2619.0659999999998</v>
      </c>
      <c r="AB25" s="76">
        <v>2665.3150000000001</v>
      </c>
      <c r="AC25" s="76">
        <v>2654.7363904899016</v>
      </c>
      <c r="AD25" s="76">
        <v>2679.8427863905981</v>
      </c>
      <c r="AE25" s="76">
        <v>2573.0413181724289</v>
      </c>
      <c r="AF25" s="76">
        <v>2583.3956085416644</v>
      </c>
      <c r="AG25" s="76">
        <v>2843.58640180974</v>
      </c>
      <c r="AH25" s="76">
        <v>2873.0669433016501</v>
      </c>
      <c r="AI25" s="76">
        <v>3209.05900270751</v>
      </c>
      <c r="AJ25" s="11"/>
      <c r="AK25" s="11"/>
    </row>
    <row r="26" spans="1:41" ht="16.5">
      <c r="A26" s="129" t="s">
        <v>373</v>
      </c>
      <c r="B26" s="9" t="s">
        <v>40</v>
      </c>
      <c r="C26" s="9" t="s">
        <v>373</v>
      </c>
      <c r="D26" s="76">
        <v>364.44099999999997</v>
      </c>
      <c r="E26" s="76">
        <v>63.302</v>
      </c>
      <c r="F26" s="76">
        <v>72.573999999999998</v>
      </c>
      <c r="G26" s="76">
        <v>64.006</v>
      </c>
      <c r="H26" s="76">
        <v>71.055999999999997</v>
      </c>
      <c r="I26" s="76">
        <v>77.212999999999994</v>
      </c>
      <c r="J26" s="76">
        <v>82.882999999999996</v>
      </c>
      <c r="K26" s="76">
        <v>84.966999999999999</v>
      </c>
      <c r="L26" s="76">
        <v>86.367000000000004</v>
      </c>
      <c r="M26" s="76">
        <v>87.367999999999995</v>
      </c>
      <c r="N26" s="76">
        <v>93.811000000000007</v>
      </c>
      <c r="O26" s="76">
        <v>93.632999999999996</v>
      </c>
      <c r="P26" s="76">
        <v>99.238</v>
      </c>
      <c r="Q26" s="76">
        <v>98.167000000000002</v>
      </c>
      <c r="R26" s="76">
        <v>171.41499999999999</v>
      </c>
      <c r="S26" s="76">
        <v>171.096</v>
      </c>
      <c r="T26" s="76">
        <v>205.80600000000001</v>
      </c>
      <c r="U26" s="76">
        <v>200.803</v>
      </c>
      <c r="V26" s="76">
        <v>230.399</v>
      </c>
      <c r="W26" s="76">
        <v>243.19</v>
      </c>
      <c r="X26" s="76">
        <v>250.423</v>
      </c>
      <c r="Y26" s="76">
        <v>278.50799999999998</v>
      </c>
      <c r="Z26" s="76">
        <v>295.28199999999998</v>
      </c>
      <c r="AA26" s="76">
        <v>294.83699999999999</v>
      </c>
      <c r="AB26" s="76">
        <v>299.69</v>
      </c>
      <c r="AC26" s="76">
        <v>300.43355326414343</v>
      </c>
      <c r="AD26" s="76">
        <v>308.05971641016652</v>
      </c>
      <c r="AE26" s="76">
        <v>274.02090949638301</v>
      </c>
      <c r="AF26" s="76">
        <v>229.73461834411421</v>
      </c>
      <c r="AG26" s="76">
        <v>235.09552661188499</v>
      </c>
      <c r="AH26" s="76">
        <v>242.498483053603</v>
      </c>
      <c r="AI26" s="76">
        <v>237.238384342199</v>
      </c>
      <c r="AJ26" s="11"/>
      <c r="AK26" s="11"/>
    </row>
    <row r="27" spans="1:41" ht="16.5">
      <c r="A27" s="129" t="s">
        <v>374</v>
      </c>
      <c r="B27" s="9" t="s">
        <v>41</v>
      </c>
      <c r="C27" s="9" t="s">
        <v>209</v>
      </c>
      <c r="D27" s="76">
        <v>33577.813999999998</v>
      </c>
      <c r="E27" s="76">
        <v>33668.93</v>
      </c>
      <c r="F27" s="76">
        <v>33034.832999999999</v>
      </c>
      <c r="G27" s="76">
        <v>33563.103999999999</v>
      </c>
      <c r="H27" s="76">
        <v>33116.514000000003</v>
      </c>
      <c r="I27" s="76">
        <v>35057.790999999997</v>
      </c>
      <c r="J27" s="76">
        <v>35514.733</v>
      </c>
      <c r="K27" s="76">
        <v>35109.178999999996</v>
      </c>
      <c r="L27" s="76">
        <v>35202.065999999999</v>
      </c>
      <c r="M27" s="76">
        <v>34948.624000000003</v>
      </c>
      <c r="N27" s="76">
        <v>36611.264999999999</v>
      </c>
      <c r="O27" s="76">
        <v>38099.817999999999</v>
      </c>
      <c r="P27" s="76">
        <v>43323.131000000001</v>
      </c>
      <c r="Q27" s="76">
        <v>45753.656000000003</v>
      </c>
      <c r="R27" s="76">
        <v>47225.383999999998</v>
      </c>
      <c r="S27" s="76">
        <v>46926.616999999998</v>
      </c>
      <c r="T27" s="76">
        <v>50428.192000000003</v>
      </c>
      <c r="U27" s="76">
        <v>47785.417999999998</v>
      </c>
      <c r="V27" s="76">
        <v>52458.747000000003</v>
      </c>
      <c r="W27" s="76">
        <v>56967.356</v>
      </c>
      <c r="X27" s="76">
        <v>53343.29</v>
      </c>
      <c r="Y27" s="76">
        <v>57332.286</v>
      </c>
      <c r="Z27" s="76">
        <v>59361.357000000004</v>
      </c>
      <c r="AA27" s="76">
        <v>62170.792000000001</v>
      </c>
      <c r="AB27" s="76">
        <v>61670.027000000002</v>
      </c>
      <c r="AC27" s="76">
        <v>61063.719320596138</v>
      </c>
      <c r="AD27" s="76">
        <v>62583.352268830284</v>
      </c>
      <c r="AE27" s="76">
        <v>62541.120281135474</v>
      </c>
      <c r="AF27" s="76">
        <v>63511.343591486184</v>
      </c>
      <c r="AG27" s="76">
        <v>67795.36902265111</v>
      </c>
      <c r="AH27" s="76">
        <v>67399.151795277401</v>
      </c>
      <c r="AI27" s="76">
        <v>72950.746025379805</v>
      </c>
      <c r="AJ27" s="11"/>
      <c r="AK27" s="11"/>
      <c r="AL27" s="11"/>
      <c r="AM27" s="11"/>
      <c r="AN27" s="11"/>
    </row>
    <row r="28" spans="1:41" ht="16.5">
      <c r="A28" s="129" t="s">
        <v>210</v>
      </c>
      <c r="B28" s="9" t="s">
        <v>42</v>
      </c>
      <c r="C28" s="9" t="s">
        <v>210</v>
      </c>
      <c r="D28" s="76">
        <v>0</v>
      </c>
      <c r="E28" s="76">
        <v>0</v>
      </c>
      <c r="F28" s="76">
        <v>0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4101.2960000000003</v>
      </c>
      <c r="M28" s="76">
        <v>3971.0349999999999</v>
      </c>
      <c r="N28" s="76">
        <v>4680.4390000000003</v>
      </c>
      <c r="O28" s="76">
        <v>4573.5230000000001</v>
      </c>
      <c r="P28" s="76">
        <v>5156.18</v>
      </c>
      <c r="Q28" s="76">
        <v>5337.7569999999996</v>
      </c>
      <c r="R28" s="76">
        <v>5547.8239999999996</v>
      </c>
      <c r="S28" s="76">
        <v>5784.7089999999998</v>
      </c>
      <c r="T28" s="76">
        <v>6126.4520000000002</v>
      </c>
      <c r="U28" s="76">
        <v>5678.9070000000002</v>
      </c>
      <c r="V28" s="76">
        <v>6729.8519999999999</v>
      </c>
      <c r="W28" s="76">
        <v>7832.8419999999996</v>
      </c>
      <c r="X28" s="76">
        <v>7429.89</v>
      </c>
      <c r="Y28" s="76">
        <v>7828.8149999999996</v>
      </c>
      <c r="Z28" s="76">
        <v>7634.7489999999998</v>
      </c>
      <c r="AA28" s="76">
        <v>8374.8919999999998</v>
      </c>
      <c r="AB28" s="76">
        <v>8263.1419999999998</v>
      </c>
      <c r="AC28" s="76">
        <v>8295.1338685783448</v>
      </c>
      <c r="AD28" s="76">
        <v>8663.2508368154176</v>
      </c>
      <c r="AE28" s="76">
        <v>8257.8550289227624</v>
      </c>
      <c r="AF28" s="76">
        <v>8436.9409340848742</v>
      </c>
      <c r="AG28" s="76">
        <v>8809.2653496775893</v>
      </c>
      <c r="AH28" s="76">
        <v>8884.4230448139497</v>
      </c>
      <c r="AI28" s="76">
        <v>9888.3165632958389</v>
      </c>
      <c r="AJ28" s="11"/>
      <c r="AK28" s="11"/>
      <c r="AL28" s="11"/>
      <c r="AM28" s="11"/>
      <c r="AN28" s="11"/>
    </row>
    <row r="29" spans="1:41" ht="16.5">
      <c r="A29" s="129" t="s">
        <v>375</v>
      </c>
      <c r="B29" s="9" t="s">
        <v>43</v>
      </c>
      <c r="C29" s="9" t="s">
        <v>211</v>
      </c>
      <c r="D29" s="76">
        <v>5194.0169999999998</v>
      </c>
      <c r="E29" s="76">
        <v>5586.8959999999997</v>
      </c>
      <c r="F29" s="76">
        <v>5421.2740000000003</v>
      </c>
      <c r="G29" s="76">
        <v>5512.07</v>
      </c>
      <c r="H29" s="76">
        <v>5581.8689999999997</v>
      </c>
      <c r="I29" s="76">
        <v>6074.1970000000001</v>
      </c>
      <c r="J29" s="76">
        <v>6134.4769999999999</v>
      </c>
      <c r="K29" s="76">
        <v>5819.2960000000003</v>
      </c>
      <c r="L29" s="76">
        <v>5817.3689999999997</v>
      </c>
      <c r="M29" s="76">
        <v>5615.85</v>
      </c>
      <c r="N29" s="76">
        <v>5837.2120000000004</v>
      </c>
      <c r="O29" s="76">
        <v>6052.9539999999997</v>
      </c>
      <c r="P29" s="76">
        <v>7157.0889999999999</v>
      </c>
      <c r="Q29" s="76">
        <v>7925.7849999999999</v>
      </c>
      <c r="R29" s="76">
        <v>8118.09</v>
      </c>
      <c r="S29" s="76">
        <v>7702.3090000000002</v>
      </c>
      <c r="T29" s="76">
        <v>8264.9079999999994</v>
      </c>
      <c r="U29" s="76">
        <v>7273.4350000000004</v>
      </c>
      <c r="V29" s="76">
        <v>11695.884</v>
      </c>
      <c r="W29" s="76">
        <v>12004.359</v>
      </c>
      <c r="X29" s="76">
        <v>10061.665000000001</v>
      </c>
      <c r="Y29" s="76">
        <v>10464.224</v>
      </c>
      <c r="Z29" s="76">
        <v>10218.745000000001</v>
      </c>
      <c r="AA29" s="76">
        <v>10328.388999999999</v>
      </c>
      <c r="AB29" s="76">
        <v>10025.25</v>
      </c>
      <c r="AC29" s="76">
        <v>9595.0316245128706</v>
      </c>
      <c r="AD29" s="76">
        <v>9605.5921393027802</v>
      </c>
      <c r="AE29" s="76">
        <v>9612.8586105036993</v>
      </c>
      <c r="AF29" s="76">
        <v>9634.6641563989506</v>
      </c>
      <c r="AG29" s="76">
        <v>10517.62300681632</v>
      </c>
      <c r="AH29" s="76">
        <v>10517.271649690139</v>
      </c>
      <c r="AI29" s="76">
        <v>11165.94956206341</v>
      </c>
      <c r="AJ29" s="11"/>
      <c r="AK29" s="11"/>
      <c r="AL29" s="11"/>
      <c r="AM29" s="11"/>
    </row>
    <row r="30" spans="1:41" ht="16.5">
      <c r="A30" s="129" t="s">
        <v>212</v>
      </c>
      <c r="B30" s="9" t="s">
        <v>44</v>
      </c>
      <c r="C30" s="9" t="s">
        <v>212</v>
      </c>
      <c r="D30" s="76">
        <v>22094.804</v>
      </c>
      <c r="E30" s="76">
        <v>22412.32</v>
      </c>
      <c r="F30" s="76">
        <v>22086.234</v>
      </c>
      <c r="G30" s="76">
        <v>22488.246999999999</v>
      </c>
      <c r="H30" s="76">
        <v>22609.811000000002</v>
      </c>
      <c r="I30" s="76">
        <v>23965.244999999999</v>
      </c>
      <c r="J30" s="76">
        <v>24293.387999999999</v>
      </c>
      <c r="K30" s="76">
        <v>23775.575000000001</v>
      </c>
      <c r="L30" s="76">
        <v>24031.172999999999</v>
      </c>
      <c r="M30" s="76">
        <v>23739.692999999999</v>
      </c>
      <c r="N30" s="76">
        <v>24630.847000000002</v>
      </c>
      <c r="O30" s="76">
        <v>24497.75</v>
      </c>
      <c r="P30" s="76">
        <v>27296.333999999999</v>
      </c>
      <c r="Q30" s="76">
        <v>28704.025000000001</v>
      </c>
      <c r="R30" s="76">
        <v>29606.523000000001</v>
      </c>
      <c r="S30" s="76">
        <v>29246.620999999999</v>
      </c>
      <c r="T30" s="76">
        <v>30702.507000000001</v>
      </c>
      <c r="U30" s="76">
        <v>30374.143</v>
      </c>
      <c r="V30" s="76">
        <v>32249.530999999999</v>
      </c>
      <c r="W30" s="76">
        <v>32564.547999999999</v>
      </c>
      <c r="X30" s="76">
        <v>29672.471000000001</v>
      </c>
      <c r="Y30" s="76">
        <v>30760.547999999999</v>
      </c>
      <c r="Z30" s="76">
        <v>30376.724999999999</v>
      </c>
      <c r="AA30" s="76">
        <v>30412.362000000001</v>
      </c>
      <c r="AB30" s="76">
        <v>30109.963</v>
      </c>
      <c r="AC30" s="76">
        <v>29439.672079304102</v>
      </c>
      <c r="AD30" s="76">
        <v>29710.947594958561</v>
      </c>
      <c r="AE30" s="76">
        <v>29556.234495296856</v>
      </c>
      <c r="AF30" s="76">
        <v>29875.625656286455</v>
      </c>
      <c r="AG30" s="76">
        <v>31781.201125936797</v>
      </c>
      <c r="AH30" s="76">
        <v>31862.244941105702</v>
      </c>
      <c r="AI30" s="76">
        <v>33544.517500620299</v>
      </c>
      <c r="AJ30" s="11"/>
      <c r="AL30" s="11"/>
      <c r="AM30" s="11"/>
      <c r="AN30" s="11"/>
      <c r="AO30" s="11"/>
    </row>
    <row r="31" spans="1:41" ht="16.5"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1"/>
      <c r="AK31" s="11"/>
      <c r="AN31" s="11"/>
    </row>
    <row r="32" spans="1:41" ht="16.5">
      <c r="B32" s="57" t="s">
        <v>45</v>
      </c>
      <c r="C32" s="57" t="s">
        <v>213</v>
      </c>
      <c r="D32" s="78">
        <f t="shared" ref="D32:S32" si="2">SUM(D25:D30,D23)</f>
        <v>69595.707999999999</v>
      </c>
      <c r="E32" s="78">
        <f t="shared" si="2"/>
        <v>70578.226999999999</v>
      </c>
      <c r="F32" s="78">
        <f t="shared" si="2"/>
        <v>71082.429000000004</v>
      </c>
      <c r="G32" s="78">
        <f t="shared" si="2"/>
        <v>72590.406999999992</v>
      </c>
      <c r="H32" s="78">
        <f t="shared" si="2"/>
        <v>72443.831999999995</v>
      </c>
      <c r="I32" s="78">
        <f t="shared" si="2"/>
        <v>77425.332999999999</v>
      </c>
      <c r="J32" s="78">
        <f t="shared" si="2"/>
        <v>79027.09</v>
      </c>
      <c r="K32" s="78">
        <f t="shared" si="2"/>
        <v>77246.282000000007</v>
      </c>
      <c r="L32" s="78">
        <f t="shared" si="2"/>
        <v>81971.59599999999</v>
      </c>
      <c r="M32" s="78">
        <f t="shared" si="2"/>
        <v>81382.031000000003</v>
      </c>
      <c r="N32" s="78">
        <f t="shared" si="2"/>
        <v>85355.08</v>
      </c>
      <c r="O32" s="78">
        <f t="shared" si="2"/>
        <v>84415.012999999992</v>
      </c>
      <c r="P32" s="78">
        <f t="shared" si="2"/>
        <v>94553.794999999998</v>
      </c>
      <c r="Q32" s="78">
        <f t="shared" si="2"/>
        <v>99714.976999999999</v>
      </c>
      <c r="R32" s="78">
        <f t="shared" si="2"/>
        <v>102514.007</v>
      </c>
      <c r="S32" s="78">
        <f t="shared" si="2"/>
        <v>103264.507</v>
      </c>
      <c r="T32" s="78">
        <v>108880.663</v>
      </c>
      <c r="U32" s="78">
        <v>104126.89099999999</v>
      </c>
      <c r="V32" s="78">
        <v>116658.981</v>
      </c>
      <c r="W32" s="78">
        <v>123336.678</v>
      </c>
      <c r="X32" s="78">
        <v>114233.78800000002</v>
      </c>
      <c r="Y32" s="78">
        <v>121521.73499999999</v>
      </c>
      <c r="Z32" s="78">
        <v>122765.27499999999</v>
      </c>
      <c r="AA32" s="78">
        <v>128719.55799999999</v>
      </c>
      <c r="AB32" s="78">
        <f>SUM(AB25:AB30,AB23)</f>
        <v>127594.27499999999</v>
      </c>
      <c r="AC32" s="78">
        <f>SUM(AC25:AC30,AC23)</f>
        <v>126095.16084722953</v>
      </c>
      <c r="AD32" s="78">
        <v>128265.36772391848</v>
      </c>
      <c r="AE32" s="78">
        <f>SUM(AE25:AE30,AE23)</f>
        <v>127527.1455798446</v>
      </c>
      <c r="AF32" s="78">
        <f>SUM(AF25:AF30,AF23)</f>
        <v>129215.22865026123</v>
      </c>
      <c r="AG32" s="78">
        <f>SUM(AG25:AG30,AG23)</f>
        <v>136543.81759438675</v>
      </c>
      <c r="AH32" s="78">
        <f>SUM(AH25:AH30,AH23)</f>
        <v>134933.14394293528</v>
      </c>
      <c r="AI32" s="78">
        <f>SUM(AI25:AI30,AI23)</f>
        <v>145917.58591508187</v>
      </c>
      <c r="AJ32" s="11"/>
      <c r="AK32" s="11"/>
      <c r="AL32" s="11"/>
    </row>
    <row r="33" spans="2:41" ht="16.5">
      <c r="B33" s="2"/>
      <c r="C33" s="2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1"/>
      <c r="AK33" s="11"/>
      <c r="AL33" s="11"/>
      <c r="AM33" s="11"/>
      <c r="AN33" s="11"/>
      <c r="AO33" s="11"/>
    </row>
    <row r="34" spans="2:41" ht="16.5">
      <c r="B34" s="57" t="s">
        <v>46</v>
      </c>
      <c r="C34" s="57" t="s">
        <v>214</v>
      </c>
      <c r="D34" s="78">
        <f t="shared" ref="D34:X34" si="3">D32+D15</f>
        <v>104190.901</v>
      </c>
      <c r="E34" s="78">
        <f t="shared" si="3"/>
        <v>108801.70600000001</v>
      </c>
      <c r="F34" s="78">
        <f t="shared" si="3"/>
        <v>109901.39800000002</v>
      </c>
      <c r="G34" s="78">
        <f t="shared" si="3"/>
        <v>108695.951</v>
      </c>
      <c r="H34" s="78">
        <f t="shared" si="3"/>
        <v>107818.204</v>
      </c>
      <c r="I34" s="78">
        <f t="shared" si="3"/>
        <v>117327.15400000001</v>
      </c>
      <c r="J34" s="78">
        <f t="shared" si="3"/>
        <v>118883.03199999999</v>
      </c>
      <c r="K34" s="78">
        <f t="shared" si="3"/>
        <v>114145.83100000001</v>
      </c>
      <c r="L34" s="78">
        <f t="shared" si="3"/>
        <v>117790.99899999998</v>
      </c>
      <c r="M34" s="78">
        <f t="shared" si="3"/>
        <v>115583.91</v>
      </c>
      <c r="N34" s="78">
        <f t="shared" si="3"/>
        <v>122404.773</v>
      </c>
      <c r="O34" s="78">
        <f t="shared" si="3"/>
        <v>126339.38699999999</v>
      </c>
      <c r="P34" s="78">
        <f t="shared" si="3"/>
        <v>153310.99900000001</v>
      </c>
      <c r="Q34" s="78">
        <f t="shared" si="3"/>
        <v>162053.98800000001</v>
      </c>
      <c r="R34" s="78">
        <f t="shared" si="3"/>
        <v>166492.76</v>
      </c>
      <c r="S34" s="78">
        <f t="shared" si="3"/>
        <v>163801.80599999998</v>
      </c>
      <c r="T34" s="78">
        <f t="shared" si="3"/>
        <v>166686.96900000001</v>
      </c>
      <c r="U34" s="78">
        <f t="shared" si="3"/>
        <v>172283.266</v>
      </c>
      <c r="V34" s="78">
        <f t="shared" si="3"/>
        <v>196026.83299999998</v>
      </c>
      <c r="W34" s="78">
        <f>W32+W15</f>
        <v>207250.88400000002</v>
      </c>
      <c r="X34" s="78">
        <f t="shared" si="3"/>
        <v>189215.33100000001</v>
      </c>
      <c r="Y34" s="78">
        <f t="shared" ref="Y34:AC34" si="4">Y32+Y15</f>
        <v>205529.04399999999</v>
      </c>
      <c r="Z34" s="78">
        <f t="shared" si="4"/>
        <v>206311.527</v>
      </c>
      <c r="AA34" s="78">
        <f t="shared" si="4"/>
        <v>208110.628</v>
      </c>
      <c r="AB34" s="78">
        <f t="shared" si="4"/>
        <v>200211.56799999997</v>
      </c>
      <c r="AC34" s="78">
        <f t="shared" si="4"/>
        <v>198342.88488531089</v>
      </c>
      <c r="AD34" s="78">
        <v>214514.55576486743</v>
      </c>
      <c r="AE34" s="78">
        <f>AE32+AE15</f>
        <v>206132.06849247502</v>
      </c>
      <c r="AF34" s="78">
        <f>AF32+AF15</f>
        <v>204320.56535868844</v>
      </c>
      <c r="AG34" s="78">
        <f>AG32+AG15</f>
        <v>219563.85014170443</v>
      </c>
      <c r="AH34" s="78">
        <f>AH32+AH15</f>
        <v>226575.6728994117</v>
      </c>
      <c r="AI34" s="78">
        <f>AI32+AI15</f>
        <v>251936.04183135164</v>
      </c>
      <c r="AJ34" s="11"/>
      <c r="AK34" s="11"/>
      <c r="AL34" s="11"/>
      <c r="AM34" s="11"/>
    </row>
    <row r="35" spans="2:41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1"/>
      <c r="AK35" s="11"/>
      <c r="AL35" s="11"/>
      <c r="AM35" s="11"/>
    </row>
    <row r="36" spans="2:41"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130">
        <v>0</v>
      </c>
      <c r="X36" s="130"/>
      <c r="Y36" s="130"/>
      <c r="Z36" s="130"/>
      <c r="AA36" s="130">
        <v>0</v>
      </c>
      <c r="AB36" s="130"/>
      <c r="AC36" s="1"/>
      <c r="AD36" s="130"/>
      <c r="AE36" s="130"/>
      <c r="AF36" s="130"/>
      <c r="AG36" s="130"/>
      <c r="AH36" s="130"/>
      <c r="AI36" s="130"/>
      <c r="AJ36" s="11"/>
      <c r="AK36" s="11"/>
      <c r="AL36" s="11"/>
    </row>
    <row r="37" spans="2:41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1"/>
      <c r="AK37" s="11"/>
      <c r="AL37" s="11"/>
      <c r="AM37" s="11"/>
    </row>
    <row r="38" spans="2:41">
      <c r="AJ38" s="11"/>
      <c r="AK38" s="11"/>
      <c r="AL38" s="11"/>
    </row>
  </sheetData>
  <pageMargins left="0.511811024" right="0.511811024" top="0.78740157499999996" bottom="0.78740157499999996" header="0.31496062000000002" footer="0.31496062000000002"/>
  <pageSetup paperSize="9" scale="5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tabColor rgb="FF0070C0"/>
    <pageSetUpPr fitToPage="1"/>
  </sheetPr>
  <dimension ref="A1:AP52"/>
  <sheetViews>
    <sheetView showGridLines="0" zoomScale="70" zoomScaleNormal="70" workbookViewId="0">
      <pane xSplit="3" topLeftCell="X1" activePane="topRight" state="frozen"/>
      <selection activeCell="C1" sqref="C1"/>
      <selection pane="topRight" activeCell="B1" sqref="B1"/>
    </sheetView>
  </sheetViews>
  <sheetFormatPr defaultColWidth="8.85546875" defaultRowHeight="15" outlineLevelCol="1"/>
  <cols>
    <col min="1" max="1" width="11.140625" style="129" hidden="1" customWidth="1"/>
    <col min="2" max="2" width="50.5703125" customWidth="1" outlineLevel="1"/>
    <col min="3" max="3" width="50.5703125" customWidth="1"/>
    <col min="4" max="6" width="13.5703125" hidden="1" customWidth="1" outlineLevel="1"/>
    <col min="7" max="7" width="13.85546875" hidden="1" customWidth="1" outlineLevel="1"/>
    <col min="8" max="10" width="13.5703125" hidden="1" customWidth="1" outlineLevel="1"/>
    <col min="11" max="12" width="13.140625" hidden="1" customWidth="1" outlineLevel="1"/>
    <col min="13" max="13" width="13.5703125" hidden="1" customWidth="1" outlineLevel="1"/>
    <col min="14" max="14" width="13.85546875" hidden="1" customWidth="1" outlineLevel="1"/>
    <col min="15" max="18" width="14.140625" hidden="1" customWidth="1" outlineLevel="1"/>
    <col min="19" max="19" width="14.140625" hidden="1" customWidth="1" outlineLevel="1" collapsed="1"/>
    <col min="20" max="20" width="14.140625" hidden="1" customWidth="1" outlineLevel="1"/>
    <col min="21" max="23" width="14.140625" hidden="1" customWidth="1" outlineLevel="1" collapsed="1"/>
    <col min="24" max="29" width="14.140625" customWidth="1" collapsed="1"/>
    <col min="30" max="30" width="14.140625" customWidth="1"/>
    <col min="31" max="31" width="14.140625" customWidth="1" collapsed="1"/>
    <col min="32" max="32" width="12.42578125" bestFit="1" customWidth="1" collapsed="1"/>
    <col min="33" max="34" width="14.140625" bestFit="1" customWidth="1" collapsed="1"/>
    <col min="35" max="35" width="13.28515625" customWidth="1" collapsed="1"/>
    <col min="36" max="78" width="14.140625" customWidth="1"/>
  </cols>
  <sheetData>
    <row r="1" spans="1:38" ht="1.5" customHeight="1"/>
    <row r="2" spans="1:38" ht="60" customHeight="1"/>
    <row r="3" spans="1:38" ht="3" customHeight="1"/>
    <row r="4" spans="1:38" s="4" customFormat="1" ht="16.5">
      <c r="A4" s="129"/>
      <c r="B4" s="2" t="s">
        <v>350</v>
      </c>
      <c r="C4" s="2" t="s">
        <v>289</v>
      </c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3"/>
      <c r="AK4" s="3"/>
    </row>
    <row r="5" spans="1:38" s="4" customFormat="1" ht="16.5">
      <c r="A5" s="129"/>
      <c r="B5" s="6" t="s">
        <v>47</v>
      </c>
      <c r="C5" s="6" t="s">
        <v>215</v>
      </c>
      <c r="D5" s="7" t="s">
        <v>20</v>
      </c>
      <c r="E5" s="8" t="s">
        <v>21</v>
      </c>
      <c r="F5" s="7" t="s">
        <v>22</v>
      </c>
      <c r="G5" s="7" t="s">
        <v>23</v>
      </c>
      <c r="H5" s="7" t="s">
        <v>24</v>
      </c>
      <c r="I5" s="8" t="s">
        <v>25</v>
      </c>
      <c r="J5" s="8" t="s">
        <v>26</v>
      </c>
      <c r="K5" s="8" t="s">
        <v>27</v>
      </c>
      <c r="L5" s="8" t="s">
        <v>28</v>
      </c>
      <c r="M5" s="8" t="s">
        <v>29</v>
      </c>
      <c r="N5" s="8" t="s">
        <v>30</v>
      </c>
      <c r="O5" s="8" t="s">
        <v>31</v>
      </c>
      <c r="P5" s="8" t="s">
        <v>32</v>
      </c>
      <c r="Q5" s="8" t="s">
        <v>33</v>
      </c>
      <c r="R5" s="8" t="s">
        <v>34</v>
      </c>
      <c r="S5" s="17" t="s">
        <v>35</v>
      </c>
      <c r="T5" s="17" t="s">
        <v>36</v>
      </c>
      <c r="U5" s="17" t="s">
        <v>183</v>
      </c>
      <c r="V5" s="17" t="s">
        <v>187</v>
      </c>
      <c r="W5" s="17" t="s">
        <v>188</v>
      </c>
      <c r="X5" s="17" t="s">
        <v>189</v>
      </c>
      <c r="Y5" s="17" t="s">
        <v>302</v>
      </c>
      <c r="Z5" s="17" t="s">
        <v>354</v>
      </c>
      <c r="AA5" s="17" t="s">
        <v>355</v>
      </c>
      <c r="AB5" s="17" t="s">
        <v>393</v>
      </c>
      <c r="AC5" s="17" t="s">
        <v>398</v>
      </c>
      <c r="AD5" s="17" t="s">
        <v>428</v>
      </c>
      <c r="AE5" s="17" t="s">
        <v>435</v>
      </c>
      <c r="AF5" s="17" t="s">
        <v>438</v>
      </c>
      <c r="AG5" s="17" t="s">
        <v>439</v>
      </c>
      <c r="AH5" s="17" t="s">
        <v>442</v>
      </c>
      <c r="AI5" s="17" t="s">
        <v>443</v>
      </c>
      <c r="AJ5" s="3"/>
      <c r="AK5" s="3"/>
      <c r="AL5" s="3"/>
    </row>
    <row r="6" spans="1:38" ht="16.5">
      <c r="A6" s="129" t="s">
        <v>376</v>
      </c>
      <c r="B6" s="9" t="s">
        <v>48</v>
      </c>
      <c r="C6" s="9" t="s">
        <v>303</v>
      </c>
      <c r="D6" s="76">
        <v>9651.4140000000007</v>
      </c>
      <c r="E6" s="76">
        <v>9630.491</v>
      </c>
      <c r="F6" s="76">
        <v>9030.0409999999993</v>
      </c>
      <c r="G6" s="76">
        <v>9992.7780000000002</v>
      </c>
      <c r="H6" s="76">
        <v>9541.1949999999997</v>
      </c>
      <c r="I6" s="76">
        <v>11093.841</v>
      </c>
      <c r="J6" s="76">
        <v>12269.290999999999</v>
      </c>
      <c r="K6" s="76">
        <v>12165.387000000001</v>
      </c>
      <c r="L6" s="76">
        <v>11257.55</v>
      </c>
      <c r="M6" s="76">
        <v>11423.999</v>
      </c>
      <c r="N6" s="76">
        <v>12804.359</v>
      </c>
      <c r="O6" s="76">
        <v>15438.843000000001</v>
      </c>
      <c r="P6" s="76">
        <v>16675.095000000001</v>
      </c>
      <c r="Q6" s="76">
        <v>17633.576000000001</v>
      </c>
      <c r="R6" s="76">
        <v>19997.741000000002</v>
      </c>
      <c r="S6" s="76">
        <v>22197.440999999999</v>
      </c>
      <c r="T6" s="76">
        <v>22087.938999999998</v>
      </c>
      <c r="U6" s="76">
        <v>22073.394</v>
      </c>
      <c r="V6" s="76">
        <v>24266.108</v>
      </c>
      <c r="W6" s="76">
        <v>30217.201000000001</v>
      </c>
      <c r="X6" s="76">
        <v>24887.341</v>
      </c>
      <c r="Y6" s="76">
        <v>27085.616999999998</v>
      </c>
      <c r="Z6" s="76">
        <v>28961.190999999999</v>
      </c>
      <c r="AA6" s="76">
        <v>31009.514999999999</v>
      </c>
      <c r="AB6" s="76">
        <v>25196.642</v>
      </c>
      <c r="AC6" s="76">
        <v>24529.73973690264</v>
      </c>
      <c r="AD6" s="76">
        <v>25165.682143952632</v>
      </c>
      <c r="AE6" s="76">
        <v>25450.973999999998</v>
      </c>
      <c r="AF6" s="76">
        <v>22963.539319777003</v>
      </c>
      <c r="AG6" s="76">
        <v>24998.841145848703</v>
      </c>
      <c r="AH6" s="76">
        <v>25523.277887175598</v>
      </c>
      <c r="AI6" s="76">
        <v>33844.098136215704</v>
      </c>
      <c r="AJ6" s="11"/>
      <c r="AK6" s="11"/>
      <c r="AL6" s="11"/>
    </row>
    <row r="7" spans="1:38" ht="16.5">
      <c r="A7" s="129" t="s">
        <v>377</v>
      </c>
      <c r="B7" s="9" t="s">
        <v>49</v>
      </c>
      <c r="C7" s="9" t="s">
        <v>216</v>
      </c>
      <c r="D7" s="76">
        <v>0</v>
      </c>
      <c r="E7" s="76">
        <v>0</v>
      </c>
      <c r="F7" s="76">
        <v>0</v>
      </c>
      <c r="G7" s="76">
        <v>0</v>
      </c>
      <c r="H7" s="76">
        <v>0</v>
      </c>
      <c r="I7" s="76">
        <v>0</v>
      </c>
      <c r="J7" s="76">
        <v>0</v>
      </c>
      <c r="K7" s="76">
        <v>910.22799999999995</v>
      </c>
      <c r="L7" s="76">
        <v>1178.365</v>
      </c>
      <c r="M7" s="76">
        <v>1562.425</v>
      </c>
      <c r="N7" s="76">
        <v>2136.643</v>
      </c>
      <c r="O7" s="76">
        <v>2011.463</v>
      </c>
      <c r="P7" s="76">
        <v>1971.546</v>
      </c>
      <c r="Q7" s="76">
        <v>1829.59</v>
      </c>
      <c r="R7" s="76">
        <v>2210.3319999999999</v>
      </c>
      <c r="S7" s="76">
        <v>2101.0010000000002</v>
      </c>
      <c r="T7" s="76">
        <v>2478.0450000000001</v>
      </c>
      <c r="U7" s="76">
        <v>3461.127</v>
      </c>
      <c r="V7" s="76">
        <v>3094.002</v>
      </c>
      <c r="W7" s="76">
        <v>2687.9740000000002</v>
      </c>
      <c r="X7" s="76">
        <v>2582.0129999999999</v>
      </c>
      <c r="Y7" s="76">
        <v>2559.444</v>
      </c>
      <c r="Z7" s="76">
        <v>2556.0970000000002</v>
      </c>
      <c r="AA7" s="76">
        <v>3071.0990000000002</v>
      </c>
      <c r="AB7" s="76">
        <v>3930.32</v>
      </c>
      <c r="AC7" s="76">
        <v>3728.5131985332027</v>
      </c>
      <c r="AD7" s="76">
        <v>3577.3727460125388</v>
      </c>
      <c r="AE7" s="76">
        <v>4589.87</v>
      </c>
      <c r="AF7" s="76">
        <v>4713.5289472492041</v>
      </c>
      <c r="AG7" s="76">
        <v>5227.3307368143396</v>
      </c>
      <c r="AH7" s="76">
        <v>6079.90198234738</v>
      </c>
      <c r="AI7" s="76">
        <v>4512.3900799889188</v>
      </c>
      <c r="AJ7" s="11"/>
      <c r="AK7" s="11"/>
      <c r="AL7" s="11"/>
    </row>
    <row r="8" spans="1:38" ht="16.5">
      <c r="A8" s="129" t="s">
        <v>378</v>
      </c>
      <c r="B8" s="9" t="s">
        <v>50</v>
      </c>
      <c r="C8" s="9" t="s">
        <v>304</v>
      </c>
      <c r="D8" s="76">
        <v>17872.940999999999</v>
      </c>
      <c r="E8" s="76">
        <v>18252.842000000001</v>
      </c>
      <c r="F8" s="76">
        <v>16384.257000000001</v>
      </c>
      <c r="G8" s="76">
        <v>13526.050999999999</v>
      </c>
      <c r="H8" s="76">
        <v>13032.984</v>
      </c>
      <c r="I8" s="76">
        <v>4244.5730000000003</v>
      </c>
      <c r="J8" s="76">
        <v>2946.9229999999998</v>
      </c>
      <c r="K8" s="76">
        <v>2922.6350000000002</v>
      </c>
      <c r="L8" s="76">
        <v>3109.2</v>
      </c>
      <c r="M8" s="76">
        <v>3020.9209999999998</v>
      </c>
      <c r="N8" s="76">
        <v>2152.337</v>
      </c>
      <c r="O8" s="76">
        <v>2078.8989999999999</v>
      </c>
      <c r="P8" s="76">
        <v>4294.1149999999998</v>
      </c>
      <c r="Q8" s="76">
        <v>4917.3900000000003</v>
      </c>
      <c r="R8" s="76">
        <v>4951.1530000000002</v>
      </c>
      <c r="S8" s="76">
        <v>4562.1009999999997</v>
      </c>
      <c r="T8" s="76">
        <v>6308.3410000000003</v>
      </c>
      <c r="U8" s="76">
        <v>7449.0590000000002</v>
      </c>
      <c r="V8" s="76">
        <v>10201.35</v>
      </c>
      <c r="W8" s="76">
        <v>11914.284</v>
      </c>
      <c r="X8" s="76">
        <v>11020.829</v>
      </c>
      <c r="Y8" s="76">
        <v>12711.253000000001</v>
      </c>
      <c r="Z8" s="76">
        <v>10889.555</v>
      </c>
      <c r="AA8" s="76">
        <v>8228.5570000000007</v>
      </c>
      <c r="AB8" s="76">
        <v>10034.455</v>
      </c>
      <c r="AC8" s="76">
        <v>10685.579633255469</v>
      </c>
      <c r="AD8" s="76">
        <v>9239.3042791379339</v>
      </c>
      <c r="AE8" s="76">
        <v>4316.3595297010879</v>
      </c>
      <c r="AF8" s="76">
        <v>3814.3310590330684</v>
      </c>
      <c r="AG8" s="76">
        <v>4868.2797679716896</v>
      </c>
      <c r="AH8" s="76">
        <v>10121.300250104001</v>
      </c>
      <c r="AI8" s="76">
        <v>12906.1491583065</v>
      </c>
      <c r="AJ8" s="11"/>
    </row>
    <row r="9" spans="1:38" ht="16.5">
      <c r="A9" s="129" t="s">
        <v>217</v>
      </c>
      <c r="B9" s="9" t="s">
        <v>51</v>
      </c>
      <c r="C9" s="9" t="s">
        <v>217</v>
      </c>
      <c r="D9" s="76">
        <v>0</v>
      </c>
      <c r="E9" s="76">
        <v>0</v>
      </c>
      <c r="F9" s="76">
        <v>0</v>
      </c>
      <c r="G9" s="76">
        <v>905.48400000000004</v>
      </c>
      <c r="H9" s="76">
        <v>0</v>
      </c>
      <c r="I9" s="76">
        <v>450.35399999999998</v>
      </c>
      <c r="J9" s="76">
        <v>305.67899999999997</v>
      </c>
      <c r="K9" s="76">
        <v>202.66499999999999</v>
      </c>
      <c r="L9" s="76">
        <v>280.27699999999999</v>
      </c>
      <c r="M9" s="76">
        <v>179.92699999999999</v>
      </c>
      <c r="N9" s="76">
        <v>392.66800000000001</v>
      </c>
      <c r="O9" s="76">
        <v>384.59399999999999</v>
      </c>
      <c r="P9" s="76">
        <v>592.08199999999999</v>
      </c>
      <c r="Q9" s="76">
        <v>1077.567</v>
      </c>
      <c r="R9" s="76">
        <v>496.178</v>
      </c>
      <c r="S9" s="76">
        <v>206.43299999999999</v>
      </c>
      <c r="T9" s="76">
        <v>533.72400000000005</v>
      </c>
      <c r="U9" s="76">
        <v>226.07599999999999</v>
      </c>
      <c r="V9" s="76">
        <v>832.00199999999995</v>
      </c>
      <c r="W9" s="76">
        <v>988.89700000000005</v>
      </c>
      <c r="X9" s="76">
        <v>1310.1099999999999</v>
      </c>
      <c r="Y9" s="76">
        <v>1296.4259999999999</v>
      </c>
      <c r="Z9" s="76">
        <v>1008.467</v>
      </c>
      <c r="AA9" s="76">
        <v>475.17399999999998</v>
      </c>
      <c r="AB9" s="76">
        <v>103.444</v>
      </c>
      <c r="AC9" s="76">
        <v>148.84157197994176</v>
      </c>
      <c r="AD9" s="76">
        <v>158.3053948995375</v>
      </c>
      <c r="AE9" s="76">
        <v>403.02233304361215</v>
      </c>
      <c r="AF9" s="76">
        <v>526.72946650169365</v>
      </c>
      <c r="AG9" s="76">
        <v>630.237156149219</v>
      </c>
      <c r="AH9" s="76">
        <v>908.63913151185102</v>
      </c>
      <c r="AI9" s="76">
        <v>1442.9706957897699</v>
      </c>
      <c r="AJ9" s="11"/>
    </row>
    <row r="10" spans="1:38" ht="16.5">
      <c r="A10" s="129" t="s">
        <v>305</v>
      </c>
      <c r="B10" s="9" t="s">
        <v>52</v>
      </c>
      <c r="C10" s="9" t="s">
        <v>305</v>
      </c>
      <c r="D10" s="76">
        <v>452.55900000000003</v>
      </c>
      <c r="E10" s="76">
        <v>444.62900000000002</v>
      </c>
      <c r="F10" s="76">
        <v>1703.33</v>
      </c>
      <c r="G10" s="76">
        <v>461.03399999999999</v>
      </c>
      <c r="H10" s="76">
        <v>1148.0429999999999</v>
      </c>
      <c r="I10" s="76">
        <v>493.86399999999998</v>
      </c>
      <c r="J10" s="76">
        <v>519.23500000000001</v>
      </c>
      <c r="K10" s="76">
        <v>525.52099999999996</v>
      </c>
      <c r="L10" s="76">
        <v>507.21300000000002</v>
      </c>
      <c r="M10" s="76">
        <v>521.67100000000005</v>
      </c>
      <c r="N10" s="76">
        <v>534.01599999999996</v>
      </c>
      <c r="O10" s="76">
        <v>559.04600000000005</v>
      </c>
      <c r="P10" s="76">
        <v>621.90899999999999</v>
      </c>
      <c r="Q10" s="76">
        <v>683.87900000000002</v>
      </c>
      <c r="R10" s="76">
        <v>711.02599999999995</v>
      </c>
      <c r="S10" s="76">
        <v>676.62</v>
      </c>
      <c r="T10" s="76">
        <v>716.78200000000004</v>
      </c>
      <c r="U10" s="76">
        <v>709.66700000000003</v>
      </c>
      <c r="V10" s="76">
        <v>782.21100000000001</v>
      </c>
      <c r="W10" s="76">
        <v>744.09400000000005</v>
      </c>
      <c r="X10" s="76">
        <v>722.80600000000004</v>
      </c>
      <c r="Y10" s="76">
        <v>719.26900000000001</v>
      </c>
      <c r="Z10" s="76">
        <v>738.03499999999997</v>
      </c>
      <c r="AA10" s="76">
        <v>725.721</v>
      </c>
      <c r="AB10" s="76">
        <v>680.51700000000005</v>
      </c>
      <c r="AC10" s="76">
        <v>668.9266618623185</v>
      </c>
      <c r="AD10" s="76">
        <v>674.48334863715002</v>
      </c>
      <c r="AE10" s="76">
        <v>697.15700000000004</v>
      </c>
      <c r="AF10" s="76">
        <v>686.63200701387154</v>
      </c>
      <c r="AG10" s="76">
        <v>692.97526887681408</v>
      </c>
      <c r="AH10" s="76">
        <v>731.56142748946206</v>
      </c>
      <c r="AI10" s="76">
        <v>704.27720580174503</v>
      </c>
      <c r="AJ10" s="11"/>
    </row>
    <row r="11" spans="1:38" ht="16.5">
      <c r="A11" s="129" t="s">
        <v>379</v>
      </c>
      <c r="B11" s="9" t="s">
        <v>53</v>
      </c>
      <c r="C11" s="9" t="s">
        <v>306</v>
      </c>
      <c r="D11" s="76">
        <v>2317.482</v>
      </c>
      <c r="E11" s="76">
        <v>2517.1019999999999</v>
      </c>
      <c r="F11" s="76">
        <v>3410.9459999999999</v>
      </c>
      <c r="G11" s="76">
        <v>3034.0529999999999</v>
      </c>
      <c r="H11" s="76">
        <v>2712.538</v>
      </c>
      <c r="I11" s="76">
        <v>3062.3690000000001</v>
      </c>
      <c r="J11" s="76">
        <v>3757.7739999999999</v>
      </c>
      <c r="K11" s="76">
        <v>3508.585</v>
      </c>
      <c r="L11" s="76">
        <v>3188.6959999999999</v>
      </c>
      <c r="M11" s="76">
        <v>3334.364</v>
      </c>
      <c r="N11" s="76">
        <v>3929.8110000000001</v>
      </c>
      <c r="O11" s="76">
        <v>4051.8240000000001</v>
      </c>
      <c r="P11" s="76">
        <v>3969.7379999999998</v>
      </c>
      <c r="Q11" s="76">
        <v>4802.2759999999998</v>
      </c>
      <c r="R11" s="76">
        <v>5395.6589999999997</v>
      </c>
      <c r="S11" s="76">
        <v>5677.4009999999998</v>
      </c>
      <c r="T11" s="76">
        <v>5401.31</v>
      </c>
      <c r="U11" s="76">
        <v>5470.7079999999996</v>
      </c>
      <c r="V11" s="76">
        <v>6517.9579999999996</v>
      </c>
      <c r="W11" s="76">
        <v>6963.1189999999997</v>
      </c>
      <c r="X11" s="76">
        <v>5846.2139999999999</v>
      </c>
      <c r="Y11" s="76">
        <v>6601.8950000000004</v>
      </c>
      <c r="Z11" s="76">
        <v>7340.3919999999998</v>
      </c>
      <c r="AA11" s="76">
        <v>6251.1319999999996</v>
      </c>
      <c r="AB11" s="76">
        <v>5472.0020000000004</v>
      </c>
      <c r="AC11" s="76">
        <v>5346.5126250487756</v>
      </c>
      <c r="AD11" s="76">
        <v>6038.3591458516048</v>
      </c>
      <c r="AE11" s="76">
        <v>6280.0420000000004</v>
      </c>
      <c r="AF11" s="76">
        <v>6042.4488153070333</v>
      </c>
      <c r="AG11" s="76">
        <v>7314.7857202104396</v>
      </c>
      <c r="AH11" s="76">
        <v>7962.099518237409</v>
      </c>
      <c r="AI11" s="76">
        <v>8890.6001240062415</v>
      </c>
      <c r="AJ11" s="11"/>
    </row>
    <row r="12" spans="1:38" ht="16.5">
      <c r="A12" s="129" t="s">
        <v>218</v>
      </c>
      <c r="B12" s="9" t="s">
        <v>54</v>
      </c>
      <c r="C12" s="9" t="s">
        <v>218</v>
      </c>
      <c r="D12" s="76">
        <v>0</v>
      </c>
      <c r="E12" s="76">
        <v>0</v>
      </c>
      <c r="F12" s="76">
        <v>0</v>
      </c>
      <c r="G12" s="76">
        <v>0</v>
      </c>
      <c r="H12" s="76">
        <v>0</v>
      </c>
      <c r="I12" s="76">
        <v>0</v>
      </c>
      <c r="J12" s="76">
        <v>0</v>
      </c>
      <c r="K12" s="76">
        <v>0</v>
      </c>
      <c r="L12" s="76">
        <v>882.26400000000001</v>
      </c>
      <c r="M12" s="76">
        <v>859.83600000000001</v>
      </c>
      <c r="N12" s="76">
        <v>1009.4109999999999</v>
      </c>
      <c r="O12" s="76">
        <v>945.79100000000005</v>
      </c>
      <c r="P12" s="76">
        <v>1143.8109999999999</v>
      </c>
      <c r="Q12" s="76">
        <v>1218.6110000000001</v>
      </c>
      <c r="R12" s="76">
        <v>1220.5139999999999</v>
      </c>
      <c r="S12" s="76">
        <v>1293.0730000000001</v>
      </c>
      <c r="T12" s="76">
        <v>1454.231</v>
      </c>
      <c r="U12" s="76">
        <v>1327.11</v>
      </c>
      <c r="V12" s="76">
        <v>1554.172</v>
      </c>
      <c r="W12" s="76">
        <v>1625.8889999999999</v>
      </c>
      <c r="X12" s="76">
        <v>1494.798</v>
      </c>
      <c r="Y12" s="76">
        <v>1555.6759999999999</v>
      </c>
      <c r="Z12" s="76">
        <v>1540.7070000000001</v>
      </c>
      <c r="AA12" s="76">
        <v>1788.3530000000001</v>
      </c>
      <c r="AB12" s="76">
        <v>1707.4749999999999</v>
      </c>
      <c r="AC12" s="76">
        <v>1693.308671456715</v>
      </c>
      <c r="AD12" s="76">
        <v>1746.5476493885531</v>
      </c>
      <c r="AE12" s="76">
        <v>1707.1720845123284</v>
      </c>
      <c r="AF12" s="76">
        <v>1733.0270323467944</v>
      </c>
      <c r="AG12" s="76">
        <v>1850.0001082551701</v>
      </c>
      <c r="AH12" s="76">
        <v>1886.1624358915701</v>
      </c>
      <c r="AI12" s="76">
        <v>2078.6368164157598</v>
      </c>
      <c r="AJ12" s="11"/>
    </row>
    <row r="13" spans="1:38" ht="16.5">
      <c r="A13" s="129" t="s">
        <v>307</v>
      </c>
      <c r="B13" s="9" t="s">
        <v>55</v>
      </c>
      <c r="C13" s="9" t="s">
        <v>307</v>
      </c>
      <c r="D13" s="76">
        <v>90.457999999999998</v>
      </c>
      <c r="E13" s="76">
        <v>1.119</v>
      </c>
      <c r="F13" s="76">
        <v>0.10199999999999999</v>
      </c>
      <c r="G13" s="76">
        <v>127.46299999999999</v>
      </c>
      <c r="H13" s="76">
        <v>127.449</v>
      </c>
      <c r="I13" s="76">
        <v>0.6</v>
      </c>
      <c r="J13" s="76">
        <v>0.57999999999999996</v>
      </c>
      <c r="K13" s="76">
        <v>6.5659999999999998</v>
      </c>
      <c r="L13" s="76">
        <v>7.3120000000000003</v>
      </c>
      <c r="M13" s="76">
        <v>0.61</v>
      </c>
      <c r="N13" s="76">
        <v>0.61</v>
      </c>
      <c r="O13" s="76">
        <v>1442.5809999999999</v>
      </c>
      <c r="P13" s="76">
        <v>1442.5809999999999</v>
      </c>
      <c r="Q13" s="76">
        <v>0.121</v>
      </c>
      <c r="R13" s="76">
        <v>0.121</v>
      </c>
      <c r="S13" s="76">
        <v>1093.23</v>
      </c>
      <c r="T13" s="76">
        <v>1093.2280000000001</v>
      </c>
      <c r="U13" s="76">
        <v>0.154</v>
      </c>
      <c r="V13" s="76">
        <v>0.13</v>
      </c>
      <c r="W13" s="76">
        <v>0.156</v>
      </c>
      <c r="X13" s="76">
        <v>0.14599999999999999</v>
      </c>
      <c r="Y13" s="76">
        <v>0.17199999999999999</v>
      </c>
      <c r="Z13" s="76">
        <v>0.157</v>
      </c>
      <c r="AA13" s="76">
        <v>0.183</v>
      </c>
      <c r="AB13" s="76">
        <v>1.917</v>
      </c>
      <c r="AC13" s="76">
        <v>2.4839901600000003</v>
      </c>
      <c r="AD13" s="76">
        <v>2.4839901600000003</v>
      </c>
      <c r="AE13" s="76">
        <v>1.93802517</v>
      </c>
      <c r="AF13" s="76">
        <v>1.93802517</v>
      </c>
      <c r="AG13" s="76">
        <v>0.15954421999999999</v>
      </c>
      <c r="AH13" s="76">
        <v>4437.0071007799997</v>
      </c>
      <c r="AI13" s="76">
        <v>2220.68650755</v>
      </c>
      <c r="AJ13" s="11"/>
    </row>
    <row r="14" spans="1:38" s="132" customFormat="1" ht="16.5">
      <c r="A14" s="129"/>
      <c r="B14" s="131" t="s">
        <v>56</v>
      </c>
      <c r="C14" s="131" t="s">
        <v>308</v>
      </c>
      <c r="D14" s="106">
        <v>152.70099999999999</v>
      </c>
      <c r="E14" s="106">
        <v>126.83</v>
      </c>
      <c r="F14" s="106">
        <v>105.337</v>
      </c>
      <c r="G14" s="106">
        <v>73.156000000000006</v>
      </c>
      <c r="H14" s="106">
        <v>43.216000000000001</v>
      </c>
      <c r="I14" s="106">
        <v>54.002000000000002</v>
      </c>
      <c r="J14" s="106">
        <v>49.238</v>
      </c>
      <c r="K14" s="106">
        <v>45.536999999999999</v>
      </c>
      <c r="L14" s="106">
        <v>60.27</v>
      </c>
      <c r="M14" s="106">
        <v>49.064</v>
      </c>
      <c r="N14" s="106">
        <v>47.755000000000003</v>
      </c>
      <c r="O14" s="106">
        <v>45.709000000000003</v>
      </c>
      <c r="P14" s="106">
        <v>45.802999999999997</v>
      </c>
      <c r="Q14" s="106">
        <v>45.741999999999997</v>
      </c>
      <c r="R14" s="106">
        <v>44.996000000000002</v>
      </c>
      <c r="S14" s="106">
        <v>45.622</v>
      </c>
      <c r="T14" s="106">
        <v>36.872</v>
      </c>
      <c r="U14" s="106">
        <v>37.42</v>
      </c>
      <c r="V14" s="106">
        <v>38.067</v>
      </c>
      <c r="W14" s="106"/>
      <c r="X14" s="106">
        <v>36.185000000000002</v>
      </c>
      <c r="Y14" s="106">
        <v>35.435000000000002</v>
      </c>
      <c r="Z14" s="106">
        <v>0</v>
      </c>
      <c r="AA14" s="106"/>
      <c r="AB14" s="106">
        <v>0</v>
      </c>
      <c r="AC14" s="106">
        <v>0</v>
      </c>
      <c r="AD14" s="106">
        <v>0</v>
      </c>
      <c r="AE14" s="76">
        <v>0</v>
      </c>
      <c r="AF14" s="76">
        <v>0</v>
      </c>
      <c r="AG14" s="76">
        <v>0</v>
      </c>
      <c r="AH14" s="76">
        <v>0</v>
      </c>
      <c r="AI14" s="76">
        <v>0</v>
      </c>
      <c r="AJ14" s="133"/>
    </row>
    <row r="15" spans="1:38" ht="16.5">
      <c r="A15" s="129" t="s">
        <v>380</v>
      </c>
      <c r="B15" s="9" t="s">
        <v>60</v>
      </c>
      <c r="C15" s="9" t="s">
        <v>219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76">
        <v>0</v>
      </c>
      <c r="S15" s="76">
        <v>0</v>
      </c>
      <c r="T15" s="76">
        <v>0</v>
      </c>
      <c r="U15" s="76">
        <v>2043.3989999999999</v>
      </c>
      <c r="V15" s="76">
        <v>1841.27</v>
      </c>
      <c r="W15" s="76">
        <v>1338.422</v>
      </c>
      <c r="X15" s="76">
        <v>441.137</v>
      </c>
      <c r="Y15" s="76">
        <v>724.08</v>
      </c>
      <c r="Z15" s="76">
        <v>916.61300000000006</v>
      </c>
      <c r="AA15" s="76">
        <v>909.13199999999995</v>
      </c>
      <c r="AB15" s="76">
        <v>954.81</v>
      </c>
      <c r="AC15" s="76">
        <v>846.44436980038392</v>
      </c>
      <c r="AD15" s="76">
        <v>631.65854183723798</v>
      </c>
      <c r="AE15" s="76">
        <v>955.86622714119801</v>
      </c>
      <c r="AF15" s="76">
        <v>1009.4323267155328</v>
      </c>
      <c r="AG15" s="76">
        <v>1481.94719378382</v>
      </c>
      <c r="AH15" s="76">
        <v>1144.4117195186902</v>
      </c>
      <c r="AI15" s="76">
        <v>1738.82243519604</v>
      </c>
      <c r="AJ15" s="11"/>
    </row>
    <row r="16" spans="1:38" ht="16.5">
      <c r="A16" s="129" t="s">
        <v>220</v>
      </c>
      <c r="B16" s="9" t="s">
        <v>57</v>
      </c>
      <c r="C16" s="9" t="s">
        <v>220</v>
      </c>
      <c r="D16" s="76">
        <v>177.09299999999999</v>
      </c>
      <c r="E16" s="76">
        <v>139.523</v>
      </c>
      <c r="F16" s="76">
        <v>192.56299999999999</v>
      </c>
      <c r="G16" s="76">
        <v>118.684</v>
      </c>
      <c r="H16" s="76">
        <v>39.768999999999998</v>
      </c>
      <c r="I16" s="76">
        <v>198.18799999999999</v>
      </c>
      <c r="J16" s="76">
        <v>351.30599999999998</v>
      </c>
      <c r="K16" s="76">
        <v>210.01499999999999</v>
      </c>
      <c r="L16" s="76">
        <v>189.71700000000001</v>
      </c>
      <c r="M16" s="76">
        <v>324.29199999999997</v>
      </c>
      <c r="N16" s="76">
        <v>100.461</v>
      </c>
      <c r="O16" s="76">
        <v>251.964</v>
      </c>
      <c r="P16" s="76">
        <v>683.54300000000001</v>
      </c>
      <c r="Q16" s="76">
        <v>1043.319</v>
      </c>
      <c r="R16" s="76">
        <v>500.1</v>
      </c>
      <c r="S16" s="76">
        <v>287.536</v>
      </c>
      <c r="T16" s="76">
        <v>821.41800000000001</v>
      </c>
      <c r="U16" s="76">
        <v>1181.9949999999999</v>
      </c>
      <c r="V16" s="76">
        <v>549.87300000000005</v>
      </c>
      <c r="W16" s="76">
        <v>773.279</v>
      </c>
      <c r="X16" s="76">
        <v>1561.4280000000001</v>
      </c>
      <c r="Y16" s="76">
        <v>679.79</v>
      </c>
      <c r="Z16" s="76">
        <v>679.15200000000004</v>
      </c>
      <c r="AA16" s="76">
        <v>559.53599999999994</v>
      </c>
      <c r="AB16" s="76">
        <v>611.99400000000003</v>
      </c>
      <c r="AC16" s="76">
        <v>868.43265941014693</v>
      </c>
      <c r="AD16" s="76">
        <v>1019.3840760922061</v>
      </c>
      <c r="AE16" s="76">
        <v>698.36085099522256</v>
      </c>
      <c r="AF16" s="76">
        <v>457.44268150134496</v>
      </c>
      <c r="AG16" s="76">
        <v>1278.0148789166401</v>
      </c>
      <c r="AH16" s="76">
        <v>553.37198488459808</v>
      </c>
      <c r="AI16" s="76">
        <v>1027.793384349</v>
      </c>
      <c r="AJ16" s="11"/>
      <c r="AK16" s="11"/>
    </row>
    <row r="17" spans="1:40" ht="16.5">
      <c r="A17" s="129" t="s">
        <v>309</v>
      </c>
      <c r="B17" s="9" t="s">
        <v>58</v>
      </c>
      <c r="C17" s="9" t="s">
        <v>309</v>
      </c>
      <c r="D17" s="76">
        <v>834.60299999999995</v>
      </c>
      <c r="E17" s="76">
        <v>1311.2329999999999</v>
      </c>
      <c r="F17" s="76">
        <v>822.39599999999996</v>
      </c>
      <c r="G17" s="76">
        <v>940.63800000000003</v>
      </c>
      <c r="H17" s="76">
        <v>1364.6120000000001</v>
      </c>
      <c r="I17" s="76">
        <v>1138.192</v>
      </c>
      <c r="J17" s="76">
        <v>1050.279</v>
      </c>
      <c r="K17" s="76">
        <v>1104.577</v>
      </c>
      <c r="L17" s="76">
        <v>1031.028</v>
      </c>
      <c r="M17" s="76">
        <v>1760.883</v>
      </c>
      <c r="N17" s="76">
        <v>1408.6959999999999</v>
      </c>
      <c r="O17" s="76">
        <v>1246.9780000000001</v>
      </c>
      <c r="P17" s="76">
        <v>2381.6260000000002</v>
      </c>
      <c r="Q17" s="76">
        <v>1309.3009999999999</v>
      </c>
      <c r="R17" s="76">
        <v>2365.5509999999999</v>
      </c>
      <c r="S17" s="76">
        <v>2694.7730000000001</v>
      </c>
      <c r="T17" s="76">
        <v>1937.634</v>
      </c>
      <c r="U17" s="76">
        <v>1993.1</v>
      </c>
      <c r="V17" s="76">
        <v>2166.942</v>
      </c>
      <c r="W17" s="76">
        <v>2555.768</v>
      </c>
      <c r="X17" s="76">
        <v>3211.2449999999999</v>
      </c>
      <c r="Y17" s="76">
        <v>2667.0010000000002</v>
      </c>
      <c r="Z17" s="76">
        <v>2520.3409999999999</v>
      </c>
      <c r="AA17" s="76">
        <v>2141.8200000000002</v>
      </c>
      <c r="AB17" s="76">
        <v>2312.3229999999999</v>
      </c>
      <c r="AC17" s="76">
        <v>2145.1386746142598</v>
      </c>
      <c r="AD17" s="76">
        <v>2599.6602243095899</v>
      </c>
      <c r="AE17" s="76">
        <v>2813.3790615677699</v>
      </c>
      <c r="AF17" s="76">
        <v>2682.9466291951899</v>
      </c>
      <c r="AG17" s="76">
        <v>2843.5963441239796</v>
      </c>
      <c r="AH17" s="76">
        <v>3041.1107614095495</v>
      </c>
      <c r="AI17" s="76">
        <v>2817.6274053986299</v>
      </c>
    </row>
    <row r="18" spans="1:40" ht="16.5"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1"/>
      <c r="AK18" s="11"/>
    </row>
    <row r="19" spans="1:40" ht="16.5">
      <c r="B19" s="57" t="s">
        <v>59</v>
      </c>
      <c r="C19" s="57" t="s">
        <v>221</v>
      </c>
      <c r="D19" s="78">
        <f t="shared" ref="D19:X19" si="0">SUM(D6:D17)</f>
        <v>31549.251</v>
      </c>
      <c r="E19" s="78">
        <f t="shared" si="0"/>
        <v>32423.769</v>
      </c>
      <c r="F19" s="78">
        <f t="shared" si="0"/>
        <v>31648.972000000002</v>
      </c>
      <c r="G19" s="78">
        <f t="shared" si="0"/>
        <v>29179.340999999997</v>
      </c>
      <c r="H19" s="78">
        <f t="shared" si="0"/>
        <v>28009.806000000004</v>
      </c>
      <c r="I19" s="78">
        <f t="shared" si="0"/>
        <v>20735.982999999997</v>
      </c>
      <c r="J19" s="78">
        <f t="shared" si="0"/>
        <v>21250.305000000004</v>
      </c>
      <c r="K19" s="78">
        <f t="shared" si="0"/>
        <v>21601.716</v>
      </c>
      <c r="L19" s="78">
        <f t="shared" si="0"/>
        <v>21691.892</v>
      </c>
      <c r="M19" s="78">
        <f t="shared" si="0"/>
        <v>23037.992000000002</v>
      </c>
      <c r="N19" s="78">
        <f t="shared" si="0"/>
        <v>24516.767000000003</v>
      </c>
      <c r="O19" s="78">
        <f t="shared" si="0"/>
        <v>28457.691999999999</v>
      </c>
      <c r="P19" s="78">
        <f t="shared" si="0"/>
        <v>33821.849000000002</v>
      </c>
      <c r="Q19" s="78">
        <f t="shared" si="0"/>
        <v>34561.371999999996</v>
      </c>
      <c r="R19" s="78">
        <f t="shared" si="0"/>
        <v>37893.371000000006</v>
      </c>
      <c r="S19" s="78">
        <f t="shared" si="0"/>
        <v>40835.231</v>
      </c>
      <c r="T19" s="78">
        <f t="shared" si="0"/>
        <v>42869.523999999998</v>
      </c>
      <c r="U19" s="78">
        <f t="shared" si="0"/>
        <v>45973.209000000003</v>
      </c>
      <c r="V19" s="78">
        <f t="shared" si="0"/>
        <v>51844.084999999999</v>
      </c>
      <c r="W19" s="78">
        <f t="shared" si="0"/>
        <v>59809.082999999999</v>
      </c>
      <c r="X19" s="78">
        <f t="shared" si="0"/>
        <v>53114.252</v>
      </c>
      <c r="Y19" s="78">
        <f t="shared" ref="Y19:AE19" si="1">SUM(Y6:Y17)</f>
        <v>56636.05799999999</v>
      </c>
      <c r="Z19" s="78">
        <f t="shared" si="1"/>
        <v>57150.707000000002</v>
      </c>
      <c r="AA19" s="78">
        <v>55160.221999999994</v>
      </c>
      <c r="AB19" s="78">
        <f t="shared" si="1"/>
        <v>51005.898999999998</v>
      </c>
      <c r="AC19" s="78">
        <f t="shared" si="1"/>
        <v>50663.921793023845</v>
      </c>
      <c r="AD19" s="78">
        <v>50853.241540278977</v>
      </c>
      <c r="AE19" s="78">
        <f t="shared" si="1"/>
        <v>47914.141112131219</v>
      </c>
      <c r="AF19" s="78">
        <f t="shared" ref="AF19" si="2">SUM(AF6:AF17)</f>
        <v>44631.996309810733</v>
      </c>
      <c r="AG19" s="78">
        <f t="shared" ref="AG19:AH19" si="3">SUM(AG6:AG17)</f>
        <v>51186.167865170806</v>
      </c>
      <c r="AH19" s="78">
        <f t="shared" si="3"/>
        <v>62388.844199350118</v>
      </c>
      <c r="AI19" s="78">
        <f t="shared" ref="AI19" si="4">SUM(AI6:AI17)</f>
        <v>72184.051949018307</v>
      </c>
      <c r="AJ19" s="11"/>
      <c r="AK19" s="11"/>
      <c r="AL19" s="11"/>
    </row>
    <row r="20" spans="1:40" ht="16.5">
      <c r="B20" s="12"/>
      <c r="C20" s="1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1"/>
      <c r="AK20" s="11"/>
      <c r="AL20" s="11"/>
      <c r="AM20" s="11"/>
      <c r="AN20" s="11"/>
    </row>
    <row r="21" spans="1:40" ht="16.5">
      <c r="B21" s="6" t="s">
        <v>68</v>
      </c>
      <c r="C21" s="6" t="s">
        <v>222</v>
      </c>
      <c r="D21" s="7" t="s">
        <v>20</v>
      </c>
      <c r="E21" s="8" t="s">
        <v>21</v>
      </c>
      <c r="F21" s="7" t="s">
        <v>22</v>
      </c>
      <c r="G21" s="7" t="s">
        <v>23</v>
      </c>
      <c r="H21" s="7" t="s">
        <v>24</v>
      </c>
      <c r="I21" s="8" t="s">
        <v>25</v>
      </c>
      <c r="J21" s="8" t="s">
        <v>26</v>
      </c>
      <c r="K21" s="8" t="s">
        <v>27</v>
      </c>
      <c r="L21" s="8" t="s">
        <v>28</v>
      </c>
      <c r="M21" s="8" t="s">
        <v>29</v>
      </c>
      <c r="N21" s="8" t="s">
        <v>30</v>
      </c>
      <c r="O21" s="8" t="s">
        <v>31</v>
      </c>
      <c r="P21" s="8" t="s">
        <v>32</v>
      </c>
      <c r="Q21" s="8" t="s">
        <v>33</v>
      </c>
      <c r="R21" s="8" t="s">
        <v>34</v>
      </c>
      <c r="S21" s="17" t="s">
        <v>35</v>
      </c>
      <c r="T21" s="17" t="s">
        <v>36</v>
      </c>
      <c r="U21" s="17" t="s">
        <v>183</v>
      </c>
      <c r="V21" s="17" t="s">
        <v>187</v>
      </c>
      <c r="W21" s="17" t="str">
        <f>W5</f>
        <v>4Q21</v>
      </c>
      <c r="X21" s="17" t="s">
        <v>189</v>
      </c>
      <c r="Y21" s="17" t="s">
        <v>302</v>
      </c>
      <c r="Z21" s="17" t="s">
        <v>354</v>
      </c>
      <c r="AA21" s="17" t="s">
        <v>355</v>
      </c>
      <c r="AB21" s="17" t="s">
        <v>393</v>
      </c>
      <c r="AC21" s="17" t="s">
        <v>398</v>
      </c>
      <c r="AD21" s="17" t="s">
        <v>428</v>
      </c>
      <c r="AE21" s="17" t="str">
        <f>AE5</f>
        <v>4Q23</v>
      </c>
      <c r="AF21" s="17" t="str">
        <f>AF5</f>
        <v>1Q24</v>
      </c>
      <c r="AG21" s="17" t="s">
        <v>439</v>
      </c>
      <c r="AH21" s="17" t="s">
        <v>442</v>
      </c>
      <c r="AI21" s="17" t="s">
        <v>443</v>
      </c>
      <c r="AJ21" s="11"/>
      <c r="AK21" s="11"/>
      <c r="AL21" s="11"/>
    </row>
    <row r="22" spans="1:40" ht="16.5">
      <c r="A22" s="129" t="s">
        <v>378</v>
      </c>
      <c r="B22" s="9" t="s">
        <v>50</v>
      </c>
      <c r="C22" s="9" t="s">
        <v>304</v>
      </c>
      <c r="D22" s="76">
        <v>40677.35</v>
      </c>
      <c r="E22" s="76">
        <v>43423.239000000001</v>
      </c>
      <c r="F22" s="76">
        <v>43251.987000000001</v>
      </c>
      <c r="G22" s="76">
        <v>43498.6</v>
      </c>
      <c r="H22" s="76">
        <v>43303.902999999998</v>
      </c>
      <c r="I22" s="76">
        <v>59317.531000000003</v>
      </c>
      <c r="J22" s="76">
        <v>58688.813000000002</v>
      </c>
      <c r="K22" s="76">
        <v>53230.892999999996</v>
      </c>
      <c r="L22" s="76">
        <v>53037.574999999997</v>
      </c>
      <c r="M22" s="76">
        <v>48043.087</v>
      </c>
      <c r="N22" s="76">
        <v>50760.889000000003</v>
      </c>
      <c r="O22" s="76">
        <v>50949.144</v>
      </c>
      <c r="P22" s="76">
        <v>71142.513000000006</v>
      </c>
      <c r="Q22" s="76">
        <v>72275.331000000006</v>
      </c>
      <c r="R22" s="76">
        <v>68846.716</v>
      </c>
      <c r="S22" s="76">
        <v>61344.603999999999</v>
      </c>
      <c r="T22" s="76">
        <v>61123.277999999998</v>
      </c>
      <c r="U22" s="76">
        <v>63583.724000000002</v>
      </c>
      <c r="V22" s="76">
        <v>74158.917000000001</v>
      </c>
      <c r="W22" s="76">
        <v>80603.87</v>
      </c>
      <c r="X22" s="76">
        <v>72749.418000000005</v>
      </c>
      <c r="Y22" s="76">
        <v>84704.278000000006</v>
      </c>
      <c r="Z22" s="76">
        <v>84038.188999999998</v>
      </c>
      <c r="AA22" s="76">
        <v>84125.504000000001</v>
      </c>
      <c r="AB22" s="76">
        <v>82676.349000000002</v>
      </c>
      <c r="AC22" s="76">
        <v>83113.442363972892</v>
      </c>
      <c r="AD22" s="76">
        <v>98874.394385798994</v>
      </c>
      <c r="AE22" s="76">
        <v>92505.465192921241</v>
      </c>
      <c r="AF22" s="76">
        <v>92777.268246183303</v>
      </c>
      <c r="AG22" s="76">
        <v>98595.351365470196</v>
      </c>
      <c r="AH22" s="76">
        <v>93163.982854104805</v>
      </c>
      <c r="AI22" s="76">
        <v>106771.172273634</v>
      </c>
      <c r="AJ22" s="11"/>
      <c r="AK22" s="11"/>
      <c r="AL22" s="11"/>
      <c r="AM22" s="11"/>
      <c r="AN22" s="11"/>
    </row>
    <row r="23" spans="1:40" ht="16.5">
      <c r="A23" s="129" t="s">
        <v>305</v>
      </c>
      <c r="B23" s="9" t="s">
        <v>52</v>
      </c>
      <c r="C23" s="9" t="s">
        <v>305</v>
      </c>
      <c r="D23" s="76">
        <v>215.14599999999999</v>
      </c>
      <c r="E23" s="76">
        <v>200.69</v>
      </c>
      <c r="F23" s="76">
        <v>491.86</v>
      </c>
      <c r="G23" s="76">
        <v>787.22299999999996</v>
      </c>
      <c r="H23" s="76">
        <v>802.33500000000004</v>
      </c>
      <c r="I23" s="76">
        <v>757.83</v>
      </c>
      <c r="J23" s="76">
        <v>892.07</v>
      </c>
      <c r="K23" s="76">
        <v>842.26800000000003</v>
      </c>
      <c r="L23" s="76">
        <v>844.67100000000005</v>
      </c>
      <c r="M23" s="76">
        <v>895.16899999999998</v>
      </c>
      <c r="N23" s="76">
        <v>821.71400000000006</v>
      </c>
      <c r="O23" s="76">
        <v>977.99300000000005</v>
      </c>
      <c r="P23" s="76">
        <v>949.48699999999997</v>
      </c>
      <c r="Q23" s="76">
        <v>933.70500000000004</v>
      </c>
      <c r="R23" s="76">
        <v>915.90300000000002</v>
      </c>
      <c r="S23" s="76">
        <v>840.17499999999995</v>
      </c>
      <c r="T23" s="76">
        <v>886.36500000000001</v>
      </c>
      <c r="U23" s="76">
        <v>866.31899999999996</v>
      </c>
      <c r="V23" s="76">
        <v>870.20799999999997</v>
      </c>
      <c r="W23" s="76">
        <v>569.596</v>
      </c>
      <c r="X23" s="76">
        <v>572.33799999999997</v>
      </c>
      <c r="Y23" s="76">
        <v>559.02300000000002</v>
      </c>
      <c r="Z23" s="76">
        <v>541.48299999999995</v>
      </c>
      <c r="AA23" s="76">
        <v>606.04100000000005</v>
      </c>
      <c r="AB23" s="76">
        <v>561.09100000000001</v>
      </c>
      <c r="AC23" s="76">
        <v>543.40827210039936</v>
      </c>
      <c r="AD23" s="76">
        <v>527.17395016522221</v>
      </c>
      <c r="AE23" s="76">
        <v>456.864649702365</v>
      </c>
      <c r="AF23" s="76">
        <v>451.84082581407904</v>
      </c>
      <c r="AG23" s="76">
        <v>482.751091755294</v>
      </c>
      <c r="AH23" s="76">
        <v>468.02326379962898</v>
      </c>
      <c r="AI23" s="76">
        <v>2518.1301119340801</v>
      </c>
      <c r="AJ23" s="11"/>
      <c r="AK23" s="11"/>
      <c r="AL23" s="11"/>
    </row>
    <row r="24" spans="1:40" ht="16.5">
      <c r="A24" s="129" t="s">
        <v>379</v>
      </c>
      <c r="B24" s="9" t="s">
        <v>53</v>
      </c>
      <c r="C24" s="9" t="s">
        <v>306</v>
      </c>
      <c r="D24" s="76">
        <v>416.39400000000001</v>
      </c>
      <c r="E24" s="76">
        <v>449.38200000000001</v>
      </c>
      <c r="F24" s="76">
        <v>1798.5530000000001</v>
      </c>
      <c r="G24" s="76">
        <v>1848.2</v>
      </c>
      <c r="H24" s="76">
        <v>1966.7180000000001</v>
      </c>
      <c r="I24" s="76">
        <v>1988.9870000000001</v>
      </c>
      <c r="J24" s="76">
        <v>3736.8739999999998</v>
      </c>
      <c r="K24" s="76">
        <v>3740.5410000000002</v>
      </c>
      <c r="L24" s="76">
        <v>3698.547</v>
      </c>
      <c r="M24" s="76">
        <v>3649.0129999999999</v>
      </c>
      <c r="N24" s="76">
        <v>3689.6889999999999</v>
      </c>
      <c r="O24" s="76">
        <v>3653.0329999999999</v>
      </c>
      <c r="P24" s="76">
        <v>3755.1759999999999</v>
      </c>
      <c r="Q24" s="76">
        <v>4189.0600000000004</v>
      </c>
      <c r="R24" s="76">
        <v>4462.7129999999997</v>
      </c>
      <c r="S24" s="76">
        <v>4115.0680000000002</v>
      </c>
      <c r="T24" s="76">
        <v>3854.855</v>
      </c>
      <c r="U24" s="76">
        <v>3516.2170000000001</v>
      </c>
      <c r="V24" s="76">
        <v>3566.8969999999999</v>
      </c>
      <c r="W24" s="76">
        <v>2930.0819999999999</v>
      </c>
      <c r="X24" s="76">
        <v>2351.6390000000001</v>
      </c>
      <c r="Y24" s="76">
        <v>2339.5909999999999</v>
      </c>
      <c r="Z24" s="76">
        <v>2312.4409999999998</v>
      </c>
      <c r="AA24" s="76">
        <v>2378.9699999999998</v>
      </c>
      <c r="AB24" s="76">
        <v>2332.3919999999998</v>
      </c>
      <c r="AC24" s="76">
        <v>2520.7351729051079</v>
      </c>
      <c r="AD24" s="76">
        <v>2414.1356508877034</v>
      </c>
      <c r="AE24" s="76">
        <v>2374.6742736278611</v>
      </c>
      <c r="AF24" s="76">
        <v>2307.3258668905605</v>
      </c>
      <c r="AG24" s="76">
        <v>2280.6081824581497</v>
      </c>
      <c r="AH24" s="76">
        <v>2231.4448984261098</v>
      </c>
      <c r="AI24" s="76">
        <v>2184.13697682874</v>
      </c>
      <c r="AJ24" s="11"/>
      <c r="AK24" s="11"/>
      <c r="AL24" s="11"/>
    </row>
    <row r="25" spans="1:40" ht="16.5">
      <c r="A25" s="129" t="s">
        <v>218</v>
      </c>
      <c r="B25" s="9" t="s">
        <v>54</v>
      </c>
      <c r="C25" s="9" t="s">
        <v>218</v>
      </c>
      <c r="D25" s="76">
        <v>0</v>
      </c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3247.69</v>
      </c>
      <c r="M25" s="76">
        <v>3167.913</v>
      </c>
      <c r="N25" s="76">
        <v>3781.0329999999999</v>
      </c>
      <c r="O25" s="76">
        <v>3769.6529999999998</v>
      </c>
      <c r="P25" s="76">
        <v>4202.7709999999997</v>
      </c>
      <c r="Q25" s="76">
        <v>4344.0590000000002</v>
      </c>
      <c r="R25" s="76">
        <v>4618.5219999999999</v>
      </c>
      <c r="S25" s="76">
        <v>4811.4160000000002</v>
      </c>
      <c r="T25" s="76">
        <v>5025.7129999999997</v>
      </c>
      <c r="U25" s="76">
        <v>4707.8209999999999</v>
      </c>
      <c r="V25" s="76">
        <v>5596.7349999999997</v>
      </c>
      <c r="W25" s="76">
        <v>6778.585</v>
      </c>
      <c r="X25" s="76">
        <v>6304.5069999999996</v>
      </c>
      <c r="Y25" s="76">
        <v>6672.8959999999997</v>
      </c>
      <c r="Z25" s="76">
        <v>6701.37</v>
      </c>
      <c r="AA25" s="76">
        <v>7195.6549999999997</v>
      </c>
      <c r="AB25" s="76">
        <v>7167.0770000000002</v>
      </c>
      <c r="AC25" s="76">
        <v>7213.2702526402391</v>
      </c>
      <c r="AD25" s="76">
        <v>7551.2128239085023</v>
      </c>
      <c r="AE25" s="76">
        <v>7206.7614577229115</v>
      </c>
      <c r="AF25" s="76">
        <v>7379.4334016731145</v>
      </c>
      <c r="AG25" s="76">
        <v>7684.8197007804893</v>
      </c>
      <c r="AH25" s="76">
        <v>7765.8430100282003</v>
      </c>
      <c r="AI25" s="76">
        <v>8658.98953050815</v>
      </c>
      <c r="AJ25" s="11"/>
      <c r="AK25" s="11"/>
      <c r="AL25" s="11"/>
    </row>
    <row r="26" spans="1:40" s="132" customFormat="1" ht="16.5">
      <c r="A26" s="129"/>
      <c r="B26" s="131" t="s">
        <v>56</v>
      </c>
      <c r="C26" s="131" t="s">
        <v>308</v>
      </c>
      <c r="D26" s="106">
        <v>78.777000000000001</v>
      </c>
      <c r="E26" s="106">
        <v>59.220999999999997</v>
      </c>
      <c r="F26" s="106">
        <v>48.02</v>
      </c>
      <c r="G26" s="106">
        <v>39.868000000000002</v>
      </c>
      <c r="H26" s="106">
        <v>33.338000000000001</v>
      </c>
      <c r="I26" s="106">
        <v>31.334</v>
      </c>
      <c r="J26" s="106">
        <v>28.201000000000001</v>
      </c>
      <c r="K26" s="106">
        <v>23.675999999999998</v>
      </c>
      <c r="L26" s="106">
        <v>125.318</v>
      </c>
      <c r="M26" s="106">
        <v>120.047</v>
      </c>
      <c r="N26" s="106">
        <v>111.783</v>
      </c>
      <c r="O26" s="106">
        <v>104.807</v>
      </c>
      <c r="P26" s="106">
        <v>98.927999999999997</v>
      </c>
      <c r="Q26" s="106">
        <v>91.125</v>
      </c>
      <c r="R26" s="106">
        <v>84.393000000000001</v>
      </c>
      <c r="S26" s="106">
        <v>78.668000000000006</v>
      </c>
      <c r="T26" s="106">
        <v>72.569000000000003</v>
      </c>
      <c r="U26" s="106">
        <v>65.671999999999997</v>
      </c>
      <c r="V26" s="106">
        <v>58.988999999999997</v>
      </c>
      <c r="W26" s="106"/>
      <c r="X26" s="106">
        <v>48.365000000000002</v>
      </c>
      <c r="Y26" s="106">
        <v>42.689</v>
      </c>
      <c r="Z26" s="106">
        <v>0</v>
      </c>
      <c r="AA26" s="106"/>
      <c r="AB26" s="106">
        <v>0</v>
      </c>
      <c r="AC26" s="106">
        <v>0</v>
      </c>
      <c r="AD26" s="106">
        <v>0</v>
      </c>
      <c r="AE26" s="76">
        <v>0</v>
      </c>
      <c r="AF26" s="76">
        <v>0</v>
      </c>
      <c r="AG26" s="76">
        <v>0</v>
      </c>
      <c r="AH26" s="76">
        <v>0</v>
      </c>
      <c r="AI26" s="76">
        <v>0</v>
      </c>
      <c r="AJ26" s="133"/>
      <c r="AK26" s="133"/>
      <c r="AL26" s="133"/>
    </row>
    <row r="27" spans="1:40" ht="16.5">
      <c r="A27" s="129" t="s">
        <v>381</v>
      </c>
      <c r="B27" s="9" t="s">
        <v>38</v>
      </c>
      <c r="C27" s="9" t="s">
        <v>207</v>
      </c>
      <c r="D27" s="76">
        <v>3885.4749999999999</v>
      </c>
      <c r="E27" s="76">
        <v>3707.4520000000002</v>
      </c>
      <c r="F27" s="76">
        <v>3375.346</v>
      </c>
      <c r="G27" s="76">
        <v>3697.1950000000002</v>
      </c>
      <c r="H27" s="76">
        <v>3400.6210000000001</v>
      </c>
      <c r="I27" s="76">
        <v>2598.194</v>
      </c>
      <c r="J27" s="76">
        <v>1919.4</v>
      </c>
      <c r="K27" s="76">
        <v>3483.5390000000002</v>
      </c>
      <c r="L27" s="76">
        <v>2951.8449999999998</v>
      </c>
      <c r="M27" s="76">
        <v>2771.5149999999999</v>
      </c>
      <c r="N27" s="76">
        <v>2394.384</v>
      </c>
      <c r="O27" s="76">
        <v>4093.5990000000002</v>
      </c>
      <c r="P27" s="76">
        <v>3717.41</v>
      </c>
      <c r="Q27" s="76">
        <v>4091.9340000000002</v>
      </c>
      <c r="R27" s="76">
        <v>4552.1260000000002</v>
      </c>
      <c r="S27" s="76">
        <v>6186.7150000000001</v>
      </c>
      <c r="T27" s="76">
        <v>6652.6509999999998</v>
      </c>
      <c r="U27" s="76">
        <v>6384.2960000000003</v>
      </c>
      <c r="V27" s="76">
        <v>7678.6869999999999</v>
      </c>
      <c r="W27" s="76">
        <v>6658.6750000000002</v>
      </c>
      <c r="X27" s="76">
        <v>5892.0259999999998</v>
      </c>
      <c r="Y27" s="76">
        <v>6093.723</v>
      </c>
      <c r="Z27" s="76">
        <v>6116.6880000000001</v>
      </c>
      <c r="AA27" s="76">
        <v>7112.1019999999999</v>
      </c>
      <c r="AB27" s="76">
        <v>6614.2560000000003</v>
      </c>
      <c r="AC27" s="76">
        <v>6558.9631944495368</v>
      </c>
      <c r="AD27" s="76">
        <v>6673.968297834328</v>
      </c>
      <c r="AE27" s="76">
        <v>6585.4120761611985</v>
      </c>
      <c r="AF27" s="76">
        <v>6622.396967859464</v>
      </c>
      <c r="AG27" s="76">
        <v>6524.8058180543203</v>
      </c>
      <c r="AH27" s="76">
        <v>6726.8813744341096</v>
      </c>
      <c r="AI27" s="76">
        <v>6782.3696516192604</v>
      </c>
      <c r="AJ27" s="11"/>
      <c r="AK27" s="11"/>
    </row>
    <row r="28" spans="1:40" ht="16.5">
      <c r="A28" s="129" t="s">
        <v>380</v>
      </c>
      <c r="B28" s="9" t="s">
        <v>60</v>
      </c>
      <c r="C28" s="9" t="s">
        <v>219</v>
      </c>
      <c r="D28" s="76">
        <v>2783.9650000000001</v>
      </c>
      <c r="E28" s="76">
        <v>2879.54</v>
      </c>
      <c r="F28" s="76">
        <v>2896.9250000000002</v>
      </c>
      <c r="G28" s="76">
        <v>2888.15</v>
      </c>
      <c r="H28" s="76">
        <v>2716.4409999999998</v>
      </c>
      <c r="I28" s="76">
        <v>2767.875</v>
      </c>
      <c r="J28" s="76">
        <v>2757.8290000000002</v>
      </c>
      <c r="K28" s="76">
        <v>2696.645</v>
      </c>
      <c r="L28" s="76">
        <v>2229.0230000000001</v>
      </c>
      <c r="M28" s="76">
        <v>2302.8490000000002</v>
      </c>
      <c r="N28" s="76">
        <v>2364.011</v>
      </c>
      <c r="O28" s="76">
        <v>1315.826</v>
      </c>
      <c r="P28" s="76">
        <v>1391.2249999999999</v>
      </c>
      <c r="Q28" s="76">
        <v>1414.3389999999999</v>
      </c>
      <c r="R28" s="76">
        <v>1446.41</v>
      </c>
      <c r="S28" s="76">
        <v>1413.4380000000001</v>
      </c>
      <c r="T28" s="76">
        <v>1391.7239999999999</v>
      </c>
      <c r="U28" s="76">
        <v>1368.6590000000001</v>
      </c>
      <c r="V28" s="76">
        <v>1378.1690000000001</v>
      </c>
      <c r="W28" s="76">
        <v>1329.4190000000001</v>
      </c>
      <c r="X28" s="76">
        <v>1342.8969999999999</v>
      </c>
      <c r="Y28" s="76">
        <v>1350.3779999999999</v>
      </c>
      <c r="Z28" s="76">
        <v>1275.711</v>
      </c>
      <c r="AA28" s="76">
        <v>1321.38</v>
      </c>
      <c r="AB28" s="76">
        <v>1399.7380000000001</v>
      </c>
      <c r="AC28" s="76">
        <v>1440.4321174318682</v>
      </c>
      <c r="AD28" s="76">
        <v>1574.0778081585363</v>
      </c>
      <c r="AE28" s="76">
        <v>1529.6243563916491</v>
      </c>
      <c r="AF28" s="76">
        <v>1520.4668703212647</v>
      </c>
      <c r="AG28" s="76">
        <v>1514.17049233426</v>
      </c>
      <c r="AH28" s="76">
        <v>1477.8300691699601</v>
      </c>
      <c r="AI28" s="76">
        <v>1341.6149776086399</v>
      </c>
      <c r="AJ28" s="11"/>
      <c r="AK28" s="11"/>
    </row>
    <row r="29" spans="1:40" ht="16.5">
      <c r="A29" s="129" t="s">
        <v>223</v>
      </c>
      <c r="B29" s="9" t="s">
        <v>61</v>
      </c>
      <c r="C29" s="9" t="s">
        <v>223</v>
      </c>
      <c r="D29" s="76">
        <v>0</v>
      </c>
      <c r="E29" s="76">
        <v>0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  <c r="R29" s="76">
        <v>0</v>
      </c>
      <c r="S29" s="76">
        <v>0</v>
      </c>
      <c r="T29" s="76">
        <v>0</v>
      </c>
      <c r="U29" s="76">
        <v>0</v>
      </c>
      <c r="V29" s="76">
        <v>0</v>
      </c>
      <c r="W29" s="76">
        <v>0</v>
      </c>
      <c r="X29" s="76">
        <v>0</v>
      </c>
      <c r="Y29" s="76">
        <v>0</v>
      </c>
      <c r="Z29" s="76">
        <v>0</v>
      </c>
      <c r="AA29" s="76">
        <v>0</v>
      </c>
      <c r="AB29" s="76">
        <v>0</v>
      </c>
      <c r="AC29" s="76">
        <v>0</v>
      </c>
      <c r="AD29" s="76">
        <v>0</v>
      </c>
      <c r="AE29" s="76">
        <v>0</v>
      </c>
      <c r="AF29" s="76">
        <v>0</v>
      </c>
      <c r="AG29" s="76">
        <v>0</v>
      </c>
      <c r="AH29">
        <v>9E-13</v>
      </c>
      <c r="AI29" s="76">
        <v>0</v>
      </c>
      <c r="AJ29" s="11"/>
      <c r="AK29" s="11"/>
    </row>
    <row r="30" spans="1:40" ht="16.5">
      <c r="B30" s="9" t="s">
        <v>57</v>
      </c>
      <c r="C30" s="9" t="s">
        <v>220</v>
      </c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>
        <v>0</v>
      </c>
      <c r="Y30" s="76">
        <v>0</v>
      </c>
      <c r="Z30" s="76">
        <v>0</v>
      </c>
      <c r="AA30" s="76">
        <v>0</v>
      </c>
      <c r="AB30" s="76">
        <v>0</v>
      </c>
      <c r="AC30" s="76">
        <v>0</v>
      </c>
      <c r="AD30" s="76">
        <v>0</v>
      </c>
      <c r="AE30" s="76">
        <v>0</v>
      </c>
      <c r="AF30" s="76">
        <v>0</v>
      </c>
      <c r="AG30" s="76">
        <v>1.1336009375078002</v>
      </c>
      <c r="AH30" s="76">
        <v>211.39969698278398</v>
      </c>
      <c r="AI30" s="76">
        <v>619.76641057377003</v>
      </c>
      <c r="AJ30" s="11"/>
      <c r="AK30" s="11"/>
    </row>
    <row r="31" spans="1:40" ht="16.5">
      <c r="A31" s="129" t="s">
        <v>310</v>
      </c>
      <c r="B31" s="9" t="s">
        <v>62</v>
      </c>
      <c r="C31" s="9" t="s">
        <v>310</v>
      </c>
      <c r="D31" s="76">
        <v>598.01199999999994</v>
      </c>
      <c r="E31" s="76">
        <v>623.83299999999997</v>
      </c>
      <c r="F31" s="76">
        <v>591.94200000000001</v>
      </c>
      <c r="G31" s="76">
        <v>616.70600000000002</v>
      </c>
      <c r="H31" s="76">
        <v>582.27300000000002</v>
      </c>
      <c r="I31" s="76">
        <v>657.27499999999998</v>
      </c>
      <c r="J31" s="76">
        <v>621.29700000000003</v>
      </c>
      <c r="K31" s="76">
        <v>580.34400000000005</v>
      </c>
      <c r="L31" s="76">
        <v>518.34400000000005</v>
      </c>
      <c r="M31" s="76">
        <v>477.55399999999997</v>
      </c>
      <c r="N31" s="76">
        <v>517.06700000000001</v>
      </c>
      <c r="O31" s="76">
        <v>535.59100000000001</v>
      </c>
      <c r="P31" s="76">
        <v>640.48400000000004</v>
      </c>
      <c r="Q31" s="76">
        <v>686.82399999999996</v>
      </c>
      <c r="R31" s="76">
        <v>691.69799999999998</v>
      </c>
      <c r="S31" s="76">
        <v>632.30200000000002</v>
      </c>
      <c r="T31" s="76">
        <v>685.95399999999995</v>
      </c>
      <c r="U31" s="76">
        <v>604.73400000000004</v>
      </c>
      <c r="V31" s="76">
        <v>698.03800000000001</v>
      </c>
      <c r="W31" s="76">
        <v>774.85400000000004</v>
      </c>
      <c r="X31" s="76">
        <v>370.98</v>
      </c>
      <c r="Y31" s="76">
        <v>365.50400000000002</v>
      </c>
      <c r="Z31" s="76">
        <v>443.63400000000001</v>
      </c>
      <c r="AA31" s="76">
        <v>401.82299999999998</v>
      </c>
      <c r="AB31" s="76">
        <v>386.79899999999998</v>
      </c>
      <c r="AC31" s="76">
        <v>542.09476454494904</v>
      </c>
      <c r="AD31" s="76">
        <v>528.05100868908289</v>
      </c>
      <c r="AE31" s="76">
        <v>560.82047474333001</v>
      </c>
      <c r="AF31" s="76">
        <v>542.72979848456714</v>
      </c>
      <c r="AG31" s="76">
        <v>510.84695335613213</v>
      </c>
      <c r="AH31" s="76">
        <v>491.27907737107302</v>
      </c>
      <c r="AI31" s="76">
        <v>505.38352514243996</v>
      </c>
      <c r="AJ31" s="11"/>
      <c r="AK31" s="11"/>
    </row>
    <row r="32" spans="1:40" ht="16.5"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>
        <v>0</v>
      </c>
      <c r="AI32" s="13"/>
      <c r="AJ32" s="11"/>
      <c r="AK32" s="11"/>
    </row>
    <row r="33" spans="1:42" ht="16.5">
      <c r="B33" s="57" t="s">
        <v>63</v>
      </c>
      <c r="C33" s="57" t="s">
        <v>213</v>
      </c>
      <c r="D33" s="78">
        <f t="shared" ref="D33:Z33" si="5">SUM(D22:D31)</f>
        <v>48655.119000000006</v>
      </c>
      <c r="E33" s="78">
        <f t="shared" si="5"/>
        <v>51343.356999999996</v>
      </c>
      <c r="F33" s="78">
        <f t="shared" si="5"/>
        <v>52454.633000000002</v>
      </c>
      <c r="G33" s="78">
        <f t="shared" si="5"/>
        <v>53375.941999999995</v>
      </c>
      <c r="H33" s="78">
        <f t="shared" si="5"/>
        <v>52805.629000000001</v>
      </c>
      <c r="I33" s="78">
        <f t="shared" si="5"/>
        <v>68119.026000000013</v>
      </c>
      <c r="J33" s="78">
        <f t="shared" si="5"/>
        <v>68644.484000000011</v>
      </c>
      <c r="K33" s="78">
        <f t="shared" si="5"/>
        <v>64597.905999999981</v>
      </c>
      <c r="L33" s="78">
        <f t="shared" si="5"/>
        <v>66653.012999999992</v>
      </c>
      <c r="M33" s="78">
        <f t="shared" si="5"/>
        <v>61427.146999999997</v>
      </c>
      <c r="N33" s="78">
        <f t="shared" si="5"/>
        <v>64440.570000000007</v>
      </c>
      <c r="O33" s="78">
        <f t="shared" si="5"/>
        <v>65399.646000000008</v>
      </c>
      <c r="P33" s="78">
        <f t="shared" si="5"/>
        <v>85897.994000000006</v>
      </c>
      <c r="Q33" s="78">
        <f t="shared" si="5"/>
        <v>88026.376999999979</v>
      </c>
      <c r="R33" s="78">
        <f t="shared" si="5"/>
        <v>85618.481000000014</v>
      </c>
      <c r="S33" s="78">
        <f t="shared" si="5"/>
        <v>79422.385999999999</v>
      </c>
      <c r="T33" s="78">
        <f t="shared" si="5"/>
        <v>79693.108999999997</v>
      </c>
      <c r="U33" s="78">
        <f t="shared" si="5"/>
        <v>81097.44200000001</v>
      </c>
      <c r="V33" s="78">
        <f t="shared" si="5"/>
        <v>94006.64</v>
      </c>
      <c r="W33" s="78">
        <f t="shared" si="5"/>
        <v>99645.081000000006</v>
      </c>
      <c r="X33" s="78">
        <f t="shared" si="5"/>
        <v>89632.17</v>
      </c>
      <c r="Y33" s="78">
        <f t="shared" si="5"/>
        <v>102128.08199999999</v>
      </c>
      <c r="Z33" s="78">
        <f t="shared" si="5"/>
        <v>101429.51599999999</v>
      </c>
      <c r="AA33" s="78">
        <v>103141.47500000001</v>
      </c>
      <c r="AB33" s="78">
        <f>SUM(AB22:AB31)</f>
        <v>101137.70199999999</v>
      </c>
      <c r="AC33" s="78">
        <v>101932.34613804497</v>
      </c>
      <c r="AD33" s="78">
        <v>118143.01392544237</v>
      </c>
      <c r="AE33" s="78">
        <f>SUM(AE22:AE31)</f>
        <v>111219.62248127055</v>
      </c>
      <c r="AF33" s="78">
        <f>SUM(AF22:AF31)</f>
        <v>111601.46197722635</v>
      </c>
      <c r="AG33" s="78">
        <f>SUM(AG22:AG31)</f>
        <v>117594.48720514635</v>
      </c>
      <c r="AH33" s="78">
        <f>SUM(AH22:AH31)</f>
        <v>112536.68424431667</v>
      </c>
      <c r="AI33" s="78">
        <f>SUM(AI22:AI31)</f>
        <v>129381.56345784907</v>
      </c>
      <c r="AJ33" s="11"/>
    </row>
    <row r="34" spans="1:42" ht="16.5">
      <c r="B34" s="12"/>
      <c r="C34" s="12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1"/>
    </row>
    <row r="35" spans="1:42" ht="16.5">
      <c r="B35" s="6" t="s">
        <v>69</v>
      </c>
      <c r="C35" s="6" t="s">
        <v>224</v>
      </c>
      <c r="D35" s="7" t="s">
        <v>20</v>
      </c>
      <c r="E35" s="8" t="s">
        <v>21</v>
      </c>
      <c r="F35" s="7" t="s">
        <v>22</v>
      </c>
      <c r="G35" s="7" t="s">
        <v>23</v>
      </c>
      <c r="H35" s="7" t="s">
        <v>24</v>
      </c>
      <c r="I35" s="8" t="s">
        <v>25</v>
      </c>
      <c r="J35" s="8" t="s">
        <v>26</v>
      </c>
      <c r="K35" s="8" t="s">
        <v>27</v>
      </c>
      <c r="L35" s="8" t="s">
        <v>28</v>
      </c>
      <c r="M35" s="8" t="s">
        <v>29</v>
      </c>
      <c r="N35" s="8" t="s">
        <v>30</v>
      </c>
      <c r="O35" s="8" t="s">
        <v>31</v>
      </c>
      <c r="P35" s="8" t="s">
        <v>32</v>
      </c>
      <c r="Q35" s="8" t="s">
        <v>33</v>
      </c>
      <c r="R35" s="8" t="s">
        <v>34</v>
      </c>
      <c r="S35" s="17" t="s">
        <v>35</v>
      </c>
      <c r="T35" s="17" t="s">
        <v>36</v>
      </c>
      <c r="U35" s="17" t="s">
        <v>183</v>
      </c>
      <c r="V35" s="17" t="s">
        <v>187</v>
      </c>
      <c r="W35" s="17" t="str">
        <f>W5</f>
        <v>4Q21</v>
      </c>
      <c r="X35" s="17" t="s">
        <v>189</v>
      </c>
      <c r="Y35" s="17" t="s">
        <v>302</v>
      </c>
      <c r="Z35" s="17" t="s">
        <v>354</v>
      </c>
      <c r="AA35" s="17" t="s">
        <v>355</v>
      </c>
      <c r="AB35" s="17" t="s">
        <v>393</v>
      </c>
      <c r="AC35" s="17" t="s">
        <v>398</v>
      </c>
      <c r="AD35" s="17" t="s">
        <v>428</v>
      </c>
      <c r="AE35" s="17" t="str">
        <f>AE5</f>
        <v>4Q23</v>
      </c>
      <c r="AF35" s="17" t="str">
        <f>AF5</f>
        <v>1Q24</v>
      </c>
      <c r="AG35" s="17" t="s">
        <v>439</v>
      </c>
      <c r="AH35" s="17" t="s">
        <v>442</v>
      </c>
      <c r="AI35" s="17" t="s">
        <v>443</v>
      </c>
      <c r="AJ35" s="11"/>
      <c r="AN35" s="11"/>
      <c r="AP35" s="11"/>
    </row>
    <row r="36" spans="1:42" ht="16.5">
      <c r="A36" s="129" t="s">
        <v>311</v>
      </c>
      <c r="B36" s="9" t="s">
        <v>64</v>
      </c>
      <c r="C36" s="9" t="s">
        <v>311</v>
      </c>
      <c r="D36" s="77">
        <v>23576.205999999998</v>
      </c>
      <c r="E36" s="77">
        <v>23576.205999999998</v>
      </c>
      <c r="F36" s="77">
        <v>23576.205999999998</v>
      </c>
      <c r="G36" s="77">
        <v>23576.205999999998</v>
      </c>
      <c r="H36" s="77">
        <v>23576.205999999998</v>
      </c>
      <c r="I36" s="77">
        <v>23576.205999999998</v>
      </c>
      <c r="J36" s="77">
        <v>23576.205999999998</v>
      </c>
      <c r="K36" s="77">
        <v>23576.205999999998</v>
      </c>
      <c r="L36" s="77">
        <v>23576.205999999998</v>
      </c>
      <c r="M36" s="77">
        <v>23576.205999999998</v>
      </c>
      <c r="N36" s="77">
        <v>23576.205999999998</v>
      </c>
      <c r="O36" s="77">
        <v>23576.205999999998</v>
      </c>
      <c r="P36" s="77">
        <v>23576.205999999998</v>
      </c>
      <c r="Q36" s="77">
        <v>23576.205999999998</v>
      </c>
      <c r="R36" s="77">
        <v>23576.205999999998</v>
      </c>
      <c r="S36" s="77">
        <v>23576.205999999998</v>
      </c>
      <c r="T36" s="77">
        <v>23576.205999999998</v>
      </c>
      <c r="U36" s="77">
        <v>23576.205999999998</v>
      </c>
      <c r="V36" s="77">
        <v>23576.205999999998</v>
      </c>
      <c r="W36" s="76">
        <v>23576.205999999998</v>
      </c>
      <c r="X36" s="77">
        <v>23576.205999999998</v>
      </c>
      <c r="Y36" s="77">
        <v>23576.205999999998</v>
      </c>
      <c r="Z36" s="77">
        <v>23576.205999999998</v>
      </c>
      <c r="AA36" s="76">
        <v>23576.205999999998</v>
      </c>
      <c r="AB36" s="76">
        <v>23576.205999999998</v>
      </c>
      <c r="AC36" s="76">
        <v>23576.206155880001</v>
      </c>
      <c r="AD36" s="76">
        <v>23576.206155880001</v>
      </c>
      <c r="AE36" s="76">
        <v>23576.206155880001</v>
      </c>
      <c r="AF36" s="76">
        <v>23576.206155880001</v>
      </c>
      <c r="AG36" s="76">
        <v>23576.206155880001</v>
      </c>
      <c r="AH36" s="76">
        <v>23576.206155880001</v>
      </c>
      <c r="AI36" s="76">
        <v>23576.206155880001</v>
      </c>
      <c r="AJ36" s="11"/>
    </row>
    <row r="37" spans="1:42" ht="16.5">
      <c r="A37" s="129" t="s">
        <v>312</v>
      </c>
      <c r="B37" s="9" t="s">
        <v>65</v>
      </c>
      <c r="C37" s="9" t="s">
        <v>312</v>
      </c>
      <c r="D37" s="76">
        <v>-134.54900000000001</v>
      </c>
      <c r="E37" s="76">
        <v>-127.96899999999999</v>
      </c>
      <c r="F37" s="76">
        <v>-288.19600000000003</v>
      </c>
      <c r="G37" s="76">
        <v>-289.29500000000002</v>
      </c>
      <c r="H37" s="76">
        <v>-306.96199999999999</v>
      </c>
      <c r="I37" s="76">
        <v>-293.19</v>
      </c>
      <c r="J37" s="76">
        <v>-279.10199999999998</v>
      </c>
      <c r="K37" s="76">
        <v>-255.69900000000001</v>
      </c>
      <c r="L37" s="76">
        <v>-267.73599999999999</v>
      </c>
      <c r="M37" s="76">
        <v>-255.16900000000001</v>
      </c>
      <c r="N37" s="76">
        <v>-245.124</v>
      </c>
      <c r="O37" s="76">
        <v>-233.70699999999999</v>
      </c>
      <c r="P37" s="76">
        <v>-295.22899999999998</v>
      </c>
      <c r="Q37" s="76">
        <v>-378.18400000000003</v>
      </c>
      <c r="R37" s="76">
        <v>-436.64</v>
      </c>
      <c r="S37" s="76">
        <v>-434.91300000000001</v>
      </c>
      <c r="T37" s="76">
        <v>-427.36700000000002</v>
      </c>
      <c r="U37" s="76">
        <v>-413.72899999999998</v>
      </c>
      <c r="V37" s="76">
        <v>-400.34300000000002</v>
      </c>
      <c r="W37" s="77">
        <v>-385.85599999999999</v>
      </c>
      <c r="X37" s="76">
        <v>-435.44900000000001</v>
      </c>
      <c r="Y37" s="77">
        <v>-639.22299999999996</v>
      </c>
      <c r="Z37" s="77">
        <v>-812.78599999999994</v>
      </c>
      <c r="AA37" s="77">
        <v>-807.95500000000004</v>
      </c>
      <c r="AB37" s="77">
        <v>-801.71199999999999</v>
      </c>
      <c r="AC37" s="77">
        <v>-791.65036080000118</v>
      </c>
      <c r="AD37" s="77">
        <v>-781.64410090000058</v>
      </c>
      <c r="AE37" s="76">
        <v>-773.53703777000032</v>
      </c>
      <c r="AF37" s="76">
        <v>-754.14300000000003</v>
      </c>
      <c r="AG37" s="76">
        <v>-742.77300159000004</v>
      </c>
      <c r="AH37" s="76">
        <v>-730.05183243000101</v>
      </c>
      <c r="AI37" s="76">
        <v>-747.38137464999704</v>
      </c>
      <c r="AJ37" s="11"/>
      <c r="AK37" s="11"/>
      <c r="AL37" s="11"/>
    </row>
    <row r="38" spans="1:42" ht="16.5">
      <c r="A38" s="129" t="s">
        <v>313</v>
      </c>
      <c r="B38" s="9" t="s">
        <v>66</v>
      </c>
      <c r="C38" s="9" t="s">
        <v>313</v>
      </c>
      <c r="D38" s="76">
        <v>71.611999999999995</v>
      </c>
      <c r="E38" s="76">
        <v>69.457999999999998</v>
      </c>
      <c r="F38" s="76">
        <v>67.311000000000007</v>
      </c>
      <c r="G38" s="76">
        <v>67.906000000000006</v>
      </c>
      <c r="H38" s="76">
        <v>66.537999999999997</v>
      </c>
      <c r="I38" s="76">
        <v>65.161000000000001</v>
      </c>
      <c r="J38" s="76">
        <v>63.798000000000002</v>
      </c>
      <c r="K38" s="76">
        <v>62.48</v>
      </c>
      <c r="L38" s="76">
        <v>60.75</v>
      </c>
      <c r="M38" s="76">
        <v>56.881999999999998</v>
      </c>
      <c r="N38" s="76">
        <v>55.649000000000001</v>
      </c>
      <c r="O38" s="76">
        <v>54.374000000000002</v>
      </c>
      <c r="P38" s="76">
        <v>53.103000000000002</v>
      </c>
      <c r="Q38" s="76">
        <v>51.866</v>
      </c>
      <c r="R38" s="76">
        <v>50.645000000000003</v>
      </c>
      <c r="S38" s="76">
        <v>49.43</v>
      </c>
      <c r="T38" s="76">
        <v>48.232999999999997</v>
      </c>
      <c r="U38" s="76">
        <v>46.881999999999998</v>
      </c>
      <c r="V38" s="76">
        <v>45.491999999999997</v>
      </c>
      <c r="W38" s="77">
        <v>43.957000000000001</v>
      </c>
      <c r="X38" s="76">
        <v>42.15</v>
      </c>
      <c r="Y38" s="77">
        <v>39.75</v>
      </c>
      <c r="Z38" s="77">
        <v>38.046999999999997</v>
      </c>
      <c r="AA38" s="77">
        <v>36.497</v>
      </c>
      <c r="AB38" s="77">
        <v>34.966000000000001</v>
      </c>
      <c r="AC38" s="77">
        <v>33.44741286</v>
      </c>
      <c r="AD38" s="77">
        <v>31.975063379999998</v>
      </c>
      <c r="AE38" s="76">
        <v>30.513481039999999</v>
      </c>
      <c r="AF38" s="76">
        <v>29.0664686</v>
      </c>
      <c r="AG38" s="76">
        <v>27.63016271</v>
      </c>
      <c r="AH38" s="76">
        <v>26.22242086</v>
      </c>
      <c r="AI38" s="76">
        <v>24.842233289999999</v>
      </c>
      <c r="AJ38" s="11"/>
      <c r="AK38" s="11"/>
    </row>
    <row r="39" spans="1:42" ht="16.5">
      <c r="A39" s="129" t="s">
        <v>382</v>
      </c>
      <c r="B39" s="9" t="s">
        <v>67</v>
      </c>
      <c r="C39" s="9" t="s">
        <v>314</v>
      </c>
      <c r="D39" s="76">
        <v>2060.65</v>
      </c>
      <c r="E39" s="76">
        <v>1807.932</v>
      </c>
      <c r="F39" s="76">
        <v>1808.085</v>
      </c>
      <c r="G39" s="76">
        <v>2277.2049999999999</v>
      </c>
      <c r="H39" s="76">
        <v>2302.2080000000001</v>
      </c>
      <c r="I39" s="76">
        <v>2310.1979999999999</v>
      </c>
      <c r="J39" s="76">
        <v>2310.1979999999999</v>
      </c>
      <c r="K39" s="76">
        <v>1869.306</v>
      </c>
      <c r="L39" s="76">
        <v>1887.7760000000001</v>
      </c>
      <c r="M39" s="76">
        <v>1887.7760000000001</v>
      </c>
      <c r="N39" s="76">
        <v>1887.7760000000001</v>
      </c>
      <c r="O39" s="76">
        <v>4614.7759999999998</v>
      </c>
      <c r="P39" s="76">
        <v>4623.9489999999996</v>
      </c>
      <c r="Q39" s="76">
        <v>4624.1149999999998</v>
      </c>
      <c r="R39" s="76">
        <v>4384.7520000000004</v>
      </c>
      <c r="S39" s="76">
        <v>6862.7309999999998</v>
      </c>
      <c r="T39" s="76">
        <v>3744.0639999999999</v>
      </c>
      <c r="U39" s="76">
        <v>5350.6009999999997</v>
      </c>
      <c r="V39" s="76">
        <v>3734.6089999999999</v>
      </c>
      <c r="W39" s="77">
        <v>10447.754999999999</v>
      </c>
      <c r="X39" s="76">
        <v>8636.6540000000005</v>
      </c>
      <c r="Y39" s="77">
        <v>5405.8609999999999</v>
      </c>
      <c r="Z39" s="77">
        <v>5405.8609999999999</v>
      </c>
      <c r="AA39" s="77">
        <v>18653.056</v>
      </c>
      <c r="AB39" s="77">
        <v>18653.056</v>
      </c>
      <c r="AC39" s="77">
        <v>18653.05652418</v>
      </c>
      <c r="AD39" s="77">
        <v>18653.05652418</v>
      </c>
      <c r="AE39" s="76">
        <v>15379.954501030001</v>
      </c>
      <c r="AF39" s="76">
        <v>15379.954501030001</v>
      </c>
      <c r="AG39" s="76">
        <v>15379.954501030001</v>
      </c>
      <c r="AH39" s="76">
        <v>15379.954501030001</v>
      </c>
      <c r="AI39" s="76">
        <v>18347.227177650002</v>
      </c>
      <c r="AJ39" s="11"/>
      <c r="AK39" s="11"/>
    </row>
    <row r="40" spans="1:42" ht="20.100000000000001" customHeight="1">
      <c r="A40" s="129" t="s">
        <v>315</v>
      </c>
      <c r="B40" s="9" t="s">
        <v>70</v>
      </c>
      <c r="C40" s="9" t="s">
        <v>315</v>
      </c>
      <c r="D40" s="76">
        <v>-3110.808</v>
      </c>
      <c r="E40" s="76">
        <v>-1717.115</v>
      </c>
      <c r="F40" s="76">
        <v>-1820.826</v>
      </c>
      <c r="G40" s="76">
        <v>-1344.41</v>
      </c>
      <c r="H40" s="76">
        <v>-1135.585</v>
      </c>
      <c r="I40" s="76">
        <v>903.68499999999995</v>
      </c>
      <c r="J40" s="76">
        <v>1432.001</v>
      </c>
      <c r="K40" s="76">
        <v>394.70299999999997</v>
      </c>
      <c r="L40" s="76">
        <v>665.77800000000002</v>
      </c>
      <c r="M40" s="76">
        <v>81.257999999999996</v>
      </c>
      <c r="N40" s="76">
        <v>1789.415</v>
      </c>
      <c r="O40" s="76">
        <v>1625.317</v>
      </c>
      <c r="P40" s="76">
        <v>8063.0540000000001</v>
      </c>
      <c r="Q40" s="76">
        <v>10689.025</v>
      </c>
      <c r="R40" s="76">
        <v>11288.334000000001</v>
      </c>
      <c r="S40" s="76">
        <v>10065.868</v>
      </c>
      <c r="T40" s="76">
        <v>11221.43</v>
      </c>
      <c r="U40" s="76">
        <v>9418.6479999999992</v>
      </c>
      <c r="V40" s="76">
        <v>10465.871999999999</v>
      </c>
      <c r="W40" s="77">
        <v>10437.23</v>
      </c>
      <c r="X40" s="76">
        <v>6222.45</v>
      </c>
      <c r="Y40" s="77">
        <v>6253.8969999999999</v>
      </c>
      <c r="Z40" s="77">
        <v>2960.69</v>
      </c>
      <c r="AA40" s="77">
        <v>4886.3620000000001</v>
      </c>
      <c r="AB40" s="77">
        <v>4631.1080000000002</v>
      </c>
      <c r="AC40" s="77">
        <v>4815.5840302700008</v>
      </c>
      <c r="AD40" s="77">
        <v>3850.0346092400005</v>
      </c>
      <c r="AE40" s="76">
        <v>5138.0016749900005</v>
      </c>
      <c r="AF40" s="76">
        <v>4326.7489999999998</v>
      </c>
      <c r="AG40" s="76">
        <v>4611.5772577500002</v>
      </c>
      <c r="AH40" s="76">
        <v>5684.3857673699995</v>
      </c>
      <c r="AI40" s="76">
        <v>3579.9732337600003</v>
      </c>
      <c r="AJ40" s="11"/>
      <c r="AK40" s="11"/>
      <c r="AL40" s="11"/>
      <c r="AM40" s="11"/>
    </row>
    <row r="41" spans="1:42" ht="20.100000000000001" customHeight="1">
      <c r="A41" s="129" t="s">
        <v>394</v>
      </c>
      <c r="B41" s="54" t="s">
        <v>432</v>
      </c>
      <c r="C41" s="9" t="s">
        <v>394</v>
      </c>
      <c r="D41" s="76">
        <v>0</v>
      </c>
      <c r="E41" s="76">
        <v>0</v>
      </c>
      <c r="F41" s="76">
        <v>0</v>
      </c>
      <c r="G41" s="76">
        <v>0</v>
      </c>
      <c r="H41" s="76">
        <v>0</v>
      </c>
      <c r="I41" s="76">
        <v>0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  <c r="R41" s="76">
        <v>0</v>
      </c>
      <c r="S41" s="76">
        <v>0</v>
      </c>
      <c r="T41" s="76">
        <v>0</v>
      </c>
      <c r="U41" s="76">
        <v>0</v>
      </c>
      <c r="V41" s="76">
        <v>0</v>
      </c>
      <c r="W41" s="76">
        <v>0</v>
      </c>
      <c r="X41" s="76">
        <v>0</v>
      </c>
      <c r="Y41" s="76">
        <v>0</v>
      </c>
      <c r="Z41" s="76">
        <v>0</v>
      </c>
      <c r="AA41" s="76">
        <v>0</v>
      </c>
      <c r="AB41" s="77">
        <v>-1451.0719999999999</v>
      </c>
      <c r="AC41" s="77">
        <v>-3931.29607859</v>
      </c>
      <c r="AD41" s="77">
        <v>-3357.1709780199999</v>
      </c>
      <c r="AE41" s="76">
        <v>-1.00002E-7</v>
      </c>
      <c r="AF41" s="76">
        <v>0</v>
      </c>
      <c r="AG41" s="76">
        <v>0</v>
      </c>
      <c r="AH41" s="76">
        <v>0</v>
      </c>
      <c r="AI41" s="76">
        <v>0</v>
      </c>
      <c r="AJ41" s="11"/>
      <c r="AK41" s="11"/>
      <c r="AL41" s="11"/>
      <c r="AM41" s="11"/>
    </row>
    <row r="42" spans="1:42" ht="33" hidden="1">
      <c r="A42" s="129" t="s">
        <v>225</v>
      </c>
      <c r="B42" s="75" t="s">
        <v>71</v>
      </c>
      <c r="C42" s="75" t="s">
        <v>225</v>
      </c>
      <c r="D42" s="76">
        <v>0</v>
      </c>
      <c r="E42" s="76">
        <v>-629.26199999999994</v>
      </c>
      <c r="F42" s="76">
        <v>-210.09899999999999</v>
      </c>
      <c r="G42" s="76">
        <v>0</v>
      </c>
      <c r="H42" s="76">
        <v>0</v>
      </c>
      <c r="I42" s="76">
        <v>0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v>0</v>
      </c>
      <c r="W42" s="77"/>
      <c r="X42" s="76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6">
        <v>0</v>
      </c>
      <c r="AF42" s="76">
        <v>0</v>
      </c>
      <c r="AG42" s="76">
        <v>0</v>
      </c>
      <c r="AH42" s="76">
        <v>0</v>
      </c>
      <c r="AI42" s="76">
        <v>0</v>
      </c>
      <c r="AJ42" s="11"/>
      <c r="AK42" s="11"/>
    </row>
    <row r="43" spans="1:42" ht="20.100000000000001" customHeight="1">
      <c r="A43" s="129" t="s">
        <v>226</v>
      </c>
      <c r="B43" s="9" t="s">
        <v>72</v>
      </c>
      <c r="C43" s="9" t="s">
        <v>226</v>
      </c>
      <c r="D43" s="76">
        <v>354.95100000000002</v>
      </c>
      <c r="E43" s="76">
        <v>666.94899999999996</v>
      </c>
      <c r="F43" s="76">
        <v>992.62900000000002</v>
      </c>
      <c r="G43" s="76">
        <v>0</v>
      </c>
      <c r="H43" s="76">
        <v>507.89</v>
      </c>
      <c r="I43" s="76">
        <v>-401.81</v>
      </c>
      <c r="J43" s="76">
        <v>-533.93700000000001</v>
      </c>
      <c r="K43" s="76">
        <v>0</v>
      </c>
      <c r="L43" s="76">
        <v>1094.4780000000001</v>
      </c>
      <c r="M43" s="76">
        <v>3281.826</v>
      </c>
      <c r="N43" s="76">
        <v>3639.7730000000001</v>
      </c>
      <c r="O43" s="76">
        <v>0</v>
      </c>
      <c r="P43" s="76">
        <v>-5931.7439999999997</v>
      </c>
      <c r="Q43" s="76">
        <v>-2551.2710000000002</v>
      </c>
      <c r="R43" s="76">
        <v>582.68200000000002</v>
      </c>
      <c r="S43" s="76">
        <v>0</v>
      </c>
      <c r="T43" s="76">
        <v>2046.7180000000001</v>
      </c>
      <c r="U43" s="76">
        <v>3919.5929999999998</v>
      </c>
      <c r="V43" s="76">
        <v>9132.6859999999997</v>
      </c>
      <c r="W43" s="77">
        <v>0</v>
      </c>
      <c r="X43" s="76">
        <v>5144.08</v>
      </c>
      <c r="Y43" s="77">
        <v>8522.8559999999998</v>
      </c>
      <c r="Z43" s="77">
        <v>13114.071</v>
      </c>
      <c r="AA43" s="77">
        <v>0</v>
      </c>
      <c r="AB43" s="77">
        <v>0</v>
      </c>
      <c r="AC43" s="77">
        <v>0</v>
      </c>
      <c r="AD43" s="77">
        <v>0</v>
      </c>
      <c r="AE43" s="76">
        <v>0</v>
      </c>
      <c r="AF43" s="76">
        <v>1647.45383060001</v>
      </c>
      <c r="AG43" s="76">
        <v>3364.0964108500002</v>
      </c>
      <c r="AH43" s="76">
        <v>2771.8093212399999</v>
      </c>
      <c r="AI43" s="76">
        <v>0</v>
      </c>
      <c r="AJ43" s="11"/>
      <c r="AK43" s="11"/>
    </row>
    <row r="44" spans="1:42" ht="16.5">
      <c r="B44" s="58" t="s">
        <v>73</v>
      </c>
      <c r="C44" s="58" t="s">
        <v>316</v>
      </c>
      <c r="D44" s="83">
        <f>SUM(D36:D43)</f>
        <v>22818.062000000002</v>
      </c>
      <c r="E44" s="83">
        <f t="shared" ref="E44:Z44" si="6">SUM(E36:E43)</f>
        <v>23646.198999999997</v>
      </c>
      <c r="F44" s="83">
        <f t="shared" si="6"/>
        <v>24125.11</v>
      </c>
      <c r="G44" s="83">
        <f t="shared" si="6"/>
        <v>24287.611999999997</v>
      </c>
      <c r="H44" s="83">
        <f t="shared" si="6"/>
        <v>25010.294999999998</v>
      </c>
      <c r="I44" s="83">
        <f t="shared" si="6"/>
        <v>26160.25</v>
      </c>
      <c r="J44" s="83">
        <f t="shared" si="6"/>
        <v>26569.163999999997</v>
      </c>
      <c r="K44" s="83">
        <f t="shared" si="6"/>
        <v>25646.995999999999</v>
      </c>
      <c r="L44" s="83">
        <f t="shared" si="6"/>
        <v>27017.251999999997</v>
      </c>
      <c r="M44" s="83">
        <f t="shared" si="6"/>
        <v>28628.779000000002</v>
      </c>
      <c r="N44" s="83">
        <f t="shared" si="6"/>
        <v>30703.695000000003</v>
      </c>
      <c r="O44" s="83">
        <f t="shared" si="6"/>
        <v>29636.965999999997</v>
      </c>
      <c r="P44" s="83">
        <f t="shared" si="6"/>
        <v>30089.339</v>
      </c>
      <c r="Q44" s="83">
        <f t="shared" si="6"/>
        <v>36011.756999999998</v>
      </c>
      <c r="R44" s="83">
        <f t="shared" si="6"/>
        <v>39445.978999999999</v>
      </c>
      <c r="S44" s="83">
        <f t="shared" si="6"/>
        <v>40119.322</v>
      </c>
      <c r="T44" s="83">
        <f t="shared" si="6"/>
        <v>40209.284</v>
      </c>
      <c r="U44" s="83">
        <f t="shared" si="6"/>
        <v>41898.201000000001</v>
      </c>
      <c r="V44" s="83">
        <f t="shared" si="6"/>
        <v>46554.521999999997</v>
      </c>
      <c r="W44" s="83">
        <f t="shared" si="6"/>
        <v>44119.292000000001</v>
      </c>
      <c r="X44" s="83">
        <f t="shared" si="6"/>
        <v>43186.091</v>
      </c>
      <c r="Y44" s="83">
        <f t="shared" si="6"/>
        <v>43159.347000000002</v>
      </c>
      <c r="Z44" s="83">
        <f t="shared" si="6"/>
        <v>44282.088999999993</v>
      </c>
      <c r="AA44" s="83">
        <v>46344.165999999997</v>
      </c>
      <c r="AB44" s="83">
        <f>SUM(AB36:AB43)</f>
        <v>44642.552000000003</v>
      </c>
      <c r="AC44" s="83">
        <v>42355.347683800006</v>
      </c>
      <c r="AD44" s="83">
        <v>41972.457273759996</v>
      </c>
      <c r="AE44" s="83">
        <v>43351.138775069994</v>
      </c>
      <c r="AF44" s="83">
        <f>SUM(AF36:AF43)</f>
        <v>44205.286956110016</v>
      </c>
      <c r="AG44" s="83">
        <f>SUM(AG36:AG43)</f>
        <v>46216.691486629999</v>
      </c>
      <c r="AH44" s="83">
        <f>SUM(AH36:AH43)</f>
        <v>46708.526333949994</v>
      </c>
      <c r="AI44" s="83">
        <f>SUM(AI36:AI43)</f>
        <v>44780.867425930002</v>
      </c>
      <c r="AJ44" s="11"/>
      <c r="AK44" s="11"/>
      <c r="AL44" s="11"/>
      <c r="AM44" s="11"/>
    </row>
    <row r="45" spans="1:42" ht="16.5">
      <c r="A45" s="129" t="s">
        <v>317</v>
      </c>
      <c r="B45" s="58" t="s">
        <v>74</v>
      </c>
      <c r="C45" s="58" t="s">
        <v>317</v>
      </c>
      <c r="D45" s="83">
        <v>1168.4690000000001</v>
      </c>
      <c r="E45" s="83">
        <v>1388.0809999999999</v>
      </c>
      <c r="F45" s="83">
        <v>1672.683</v>
      </c>
      <c r="G45" s="83">
        <v>1853.056</v>
      </c>
      <c r="H45" s="83">
        <v>1992.4739999999999</v>
      </c>
      <c r="I45" s="83">
        <v>2311.895</v>
      </c>
      <c r="J45" s="83">
        <v>2419.0790000000002</v>
      </c>
      <c r="K45" s="83">
        <v>2299.2130000000002</v>
      </c>
      <c r="L45" s="83">
        <v>2428.8420000000001</v>
      </c>
      <c r="M45" s="83">
        <v>2489.9920000000002</v>
      </c>
      <c r="N45" s="83">
        <v>2743.741</v>
      </c>
      <c r="O45" s="83">
        <v>2845.0830000000001</v>
      </c>
      <c r="P45" s="83">
        <v>3501.817</v>
      </c>
      <c r="Q45" s="83">
        <v>3454.482</v>
      </c>
      <c r="R45" s="83">
        <v>3534.9290000000001</v>
      </c>
      <c r="S45" s="83">
        <v>3424.8670000000002</v>
      </c>
      <c r="T45" s="83">
        <v>3915.0520000000001</v>
      </c>
      <c r="U45" s="83">
        <v>3314.4140000000002</v>
      </c>
      <c r="V45" s="83">
        <v>3621.5859999999998</v>
      </c>
      <c r="W45" s="83">
        <v>3677.4279999999999</v>
      </c>
      <c r="X45" s="83">
        <v>3282.8180000000002</v>
      </c>
      <c r="Y45" s="83">
        <v>3605.5569999999998</v>
      </c>
      <c r="Z45" s="83">
        <v>3449.2150000000001</v>
      </c>
      <c r="AA45" s="83">
        <v>3464.7649999999999</v>
      </c>
      <c r="AB45" s="83">
        <v>3425.415</v>
      </c>
      <c r="AC45" s="83">
        <v>3391.2692695129999</v>
      </c>
      <c r="AD45" s="83">
        <v>3545.84302516667</v>
      </c>
      <c r="AE45" s="83">
        <v>3647.1673273292399</v>
      </c>
      <c r="AF45" s="83">
        <v>3881.8226296293601</v>
      </c>
      <c r="AG45" s="83">
        <v>4566.5035852471201</v>
      </c>
      <c r="AH45" s="83">
        <v>4941.6181218960801</v>
      </c>
      <c r="AI45" s="83">
        <v>5589.5589984959697</v>
      </c>
    </row>
    <row r="46" spans="1:42" ht="16.5">
      <c r="B46" s="19"/>
      <c r="C46" s="19"/>
      <c r="D46" s="20"/>
      <c r="E46" s="20"/>
      <c r="F46" s="20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</row>
    <row r="47" spans="1:42" ht="16.5">
      <c r="B47" s="58" t="s">
        <v>75</v>
      </c>
      <c r="C47" s="58" t="s">
        <v>227</v>
      </c>
      <c r="D47" s="83">
        <f t="shared" ref="D47:X47" si="7">D44+D45</f>
        <v>23986.531000000003</v>
      </c>
      <c r="E47" s="83">
        <f t="shared" si="7"/>
        <v>25034.279999999995</v>
      </c>
      <c r="F47" s="83">
        <f t="shared" si="7"/>
        <v>25797.793000000001</v>
      </c>
      <c r="G47" s="83">
        <f t="shared" si="7"/>
        <v>26140.667999999998</v>
      </c>
      <c r="H47" s="83">
        <f t="shared" si="7"/>
        <v>27002.768999999997</v>
      </c>
      <c r="I47" s="83">
        <f t="shared" si="7"/>
        <v>28472.145</v>
      </c>
      <c r="J47" s="83">
        <f t="shared" si="7"/>
        <v>28988.242999999999</v>
      </c>
      <c r="K47" s="83">
        <f t="shared" si="7"/>
        <v>27946.208999999999</v>
      </c>
      <c r="L47" s="83">
        <f t="shared" si="7"/>
        <v>29446.093999999997</v>
      </c>
      <c r="M47" s="83">
        <f t="shared" si="7"/>
        <v>31118.771000000001</v>
      </c>
      <c r="N47" s="83">
        <f t="shared" si="7"/>
        <v>33447.436000000002</v>
      </c>
      <c r="O47" s="83">
        <f t="shared" si="7"/>
        <v>32482.048999999995</v>
      </c>
      <c r="P47" s="83">
        <f t="shared" si="7"/>
        <v>33591.156000000003</v>
      </c>
      <c r="Q47" s="83">
        <f t="shared" si="7"/>
        <v>39466.239000000001</v>
      </c>
      <c r="R47" s="83">
        <f t="shared" si="7"/>
        <v>42980.907999999996</v>
      </c>
      <c r="S47" s="83">
        <f t="shared" si="7"/>
        <v>43544.188999999998</v>
      </c>
      <c r="T47" s="83">
        <f t="shared" si="7"/>
        <v>44124.336000000003</v>
      </c>
      <c r="U47" s="83">
        <f t="shared" si="7"/>
        <v>45212.614999999998</v>
      </c>
      <c r="V47" s="83">
        <f t="shared" si="7"/>
        <v>50176.108</v>
      </c>
      <c r="W47" s="83">
        <f>W44+W45</f>
        <v>47796.72</v>
      </c>
      <c r="X47" s="83">
        <f t="shared" si="7"/>
        <v>46468.909</v>
      </c>
      <c r="Y47" s="83">
        <f>Y44+Y45</f>
        <v>46764.904000000002</v>
      </c>
      <c r="Z47" s="83">
        <f>Z44+Z45</f>
        <v>47731.303999999989</v>
      </c>
      <c r="AA47" s="83">
        <v>49808.930999999997</v>
      </c>
      <c r="AB47" s="83">
        <f>AB44+AB45</f>
        <v>48067.967000000004</v>
      </c>
      <c r="AC47" s="83">
        <v>45746.616953313009</v>
      </c>
      <c r="AD47" s="83">
        <v>45518.300298926668</v>
      </c>
      <c r="AE47" s="83">
        <f>AE44+AE45</f>
        <v>46998.306102399234</v>
      </c>
      <c r="AF47" s="83">
        <f>AF44+AF45</f>
        <v>48087.109585739374</v>
      </c>
      <c r="AG47" s="83">
        <f>AG44+AG45</f>
        <v>50783.195071877119</v>
      </c>
      <c r="AH47" s="83">
        <f>AH44+AH45</f>
        <v>51650.144455846072</v>
      </c>
      <c r="AI47" s="83">
        <f>AI44+AI45</f>
        <v>50370.426424425968</v>
      </c>
    </row>
    <row r="48" spans="1:42" ht="16.5">
      <c r="B48" s="19"/>
      <c r="C48" s="19"/>
      <c r="D48" s="18"/>
      <c r="E48" s="21"/>
      <c r="F48" s="21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</row>
    <row r="49" spans="2:35" ht="16.5">
      <c r="B49" s="58" t="s">
        <v>76</v>
      </c>
      <c r="C49" s="58" t="s">
        <v>228</v>
      </c>
      <c r="D49" s="83">
        <v>104190.901</v>
      </c>
      <c r="E49" s="83">
        <v>108801.70600000001</v>
      </c>
      <c r="F49" s="83">
        <v>109901.398</v>
      </c>
      <c r="G49" s="83">
        <v>108695.951</v>
      </c>
      <c r="H49" s="83">
        <v>107818.204</v>
      </c>
      <c r="I49" s="83">
        <v>117327.15399999999</v>
      </c>
      <c r="J49" s="83">
        <v>118883.03200000001</v>
      </c>
      <c r="K49" s="83">
        <v>114145.83100000001</v>
      </c>
      <c r="L49" s="83">
        <v>117790.999</v>
      </c>
      <c r="M49" s="83">
        <v>115583.91</v>
      </c>
      <c r="N49" s="83">
        <v>122404.773</v>
      </c>
      <c r="O49" s="83">
        <v>126339.387</v>
      </c>
      <c r="P49" s="83">
        <v>153310.99900000001</v>
      </c>
      <c r="Q49" s="83">
        <v>162053.98800000001</v>
      </c>
      <c r="R49" s="83">
        <v>166492.76</v>
      </c>
      <c r="S49" s="83">
        <v>163801.80600000001</v>
      </c>
      <c r="T49" s="83">
        <v>166686.96900000001</v>
      </c>
      <c r="U49" s="83">
        <v>172283.266</v>
      </c>
      <c r="V49" s="83">
        <v>196026.83300000001</v>
      </c>
      <c r="W49" s="83">
        <f>W19+W33+W47</f>
        <v>207250.88399999999</v>
      </c>
      <c r="X49" s="83">
        <v>189215.33100000001</v>
      </c>
      <c r="Y49" s="83">
        <f>Y19+Y33+Y47</f>
        <v>205529.04399999999</v>
      </c>
      <c r="Z49" s="83">
        <f>Z19+Z33+Z47</f>
        <v>206311.527</v>
      </c>
      <c r="AA49" s="83">
        <v>208110.62799999997</v>
      </c>
      <c r="AB49" s="83">
        <f>AB19+AB33+AB47</f>
        <v>200211.568</v>
      </c>
      <c r="AC49" s="83">
        <f>AC19+AC33+AC47</f>
        <v>198342.88488438181</v>
      </c>
      <c r="AD49" s="83">
        <v>214514.55576464802</v>
      </c>
      <c r="AE49" s="83">
        <f>AE19+AE33+AE47</f>
        <v>206132.06969580101</v>
      </c>
      <c r="AF49" s="83">
        <f>AF19+AF33+AF47</f>
        <v>204320.56787277648</v>
      </c>
      <c r="AG49" s="83">
        <f>AG19+AG33+AG47</f>
        <v>219563.85014219428</v>
      </c>
      <c r="AH49" s="83">
        <f>AH19+AH33+AH47</f>
        <v>226575.67289951287</v>
      </c>
      <c r="AI49" s="155">
        <f>AI19+AI33+AI47</f>
        <v>251936.04183129335</v>
      </c>
    </row>
    <row r="51" spans="2:35">
      <c r="C51" s="104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</row>
    <row r="52" spans="2:35">
      <c r="C52" s="104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</row>
  </sheetData>
  <pageMargins left="0.511811024" right="0.511811024" top="0.78740157499999996" bottom="0.78740157499999996" header="0.31496062000000002" footer="0.31496062000000002"/>
  <pageSetup paperSize="9" scale="54" orientation="portrait" r:id="rId1"/>
  <ignoredErrors>
    <ignoredError sqref="AH33:AI42 AH44:AI51 AH43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>
    <tabColor rgb="FF0070C0"/>
    <pageSetUpPr fitToPage="1"/>
  </sheetPr>
  <dimension ref="A1:AV36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6" sqref="A6"/>
      <selection pane="bottomRight"/>
    </sheetView>
  </sheetViews>
  <sheetFormatPr defaultColWidth="8.85546875" defaultRowHeight="15" outlineLevelCol="1"/>
  <cols>
    <col min="1" max="1" width="0.85546875" customWidth="1"/>
    <col min="2" max="2" width="50.5703125" customWidth="1" outlineLevel="1"/>
    <col min="3" max="3" width="50.5703125" customWidth="1"/>
    <col min="4" max="5" width="12.5703125" hidden="1" customWidth="1" outlineLevel="1"/>
    <col min="6" max="6" width="12.28515625" hidden="1" customWidth="1" outlineLevel="1"/>
    <col min="7" max="8" width="12.85546875" hidden="1" customWidth="1" outlineLevel="1"/>
    <col min="9" max="9" width="12.5703125" hidden="1" customWidth="1" outlineLevel="1"/>
    <col min="10" max="10" width="12.85546875" hidden="1" customWidth="1" outlineLevel="1"/>
    <col min="11" max="11" width="12.5703125" hidden="1" customWidth="1" outlineLevel="1"/>
    <col min="12" max="13" width="12.85546875" hidden="1" customWidth="1" outlineLevel="1"/>
    <col min="14" max="14" width="12.5703125" hidden="1" customWidth="1" outlineLevel="1"/>
    <col min="15" max="20" width="14.140625" hidden="1" customWidth="1" outlineLevel="1"/>
    <col min="21" max="23" width="14.140625" hidden="1" customWidth="1" outlineLevel="1" collapsed="1"/>
    <col min="24" max="28" width="14.140625" customWidth="1" collapsed="1"/>
    <col min="29" max="30" width="14.140625" customWidth="1"/>
    <col min="31" max="35" width="14.140625" customWidth="1" collapsed="1"/>
    <col min="36" max="36" width="3.5703125" customWidth="1"/>
    <col min="37" max="40" width="14.140625" hidden="1" customWidth="1" outlineLevel="1"/>
    <col min="41" max="41" width="14.140625" customWidth="1" collapsed="1"/>
    <col min="42" max="72" width="14.140625" customWidth="1"/>
  </cols>
  <sheetData>
    <row r="1" spans="1:48" ht="1.5" customHeight="1"/>
    <row r="2" spans="1:48" ht="60" customHeight="1"/>
    <row r="3" spans="1:48" ht="3" customHeight="1"/>
    <row r="4" spans="1:48" s="4" customFormat="1" ht="16.5">
      <c r="A4"/>
      <c r="B4" s="2" t="s">
        <v>350</v>
      </c>
      <c r="C4" s="2" t="s">
        <v>289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48" s="4" customFormat="1" ht="16.5">
      <c r="A5"/>
      <c r="B5" s="6"/>
      <c r="C5" s="6"/>
      <c r="D5" s="7" t="s">
        <v>20</v>
      </c>
      <c r="E5" s="8" t="s">
        <v>21</v>
      </c>
      <c r="F5" s="7" t="s">
        <v>22</v>
      </c>
      <c r="G5" s="7" t="s">
        <v>23</v>
      </c>
      <c r="H5" s="7" t="s">
        <v>24</v>
      </c>
      <c r="I5" s="8" t="s">
        <v>25</v>
      </c>
      <c r="J5" s="8" t="s">
        <v>26</v>
      </c>
      <c r="K5" s="8" t="s">
        <v>27</v>
      </c>
      <c r="L5" s="8" t="s">
        <v>28</v>
      </c>
      <c r="M5" s="8" t="s">
        <v>29</v>
      </c>
      <c r="N5" s="8" t="s">
        <v>30</v>
      </c>
      <c r="O5" s="8" t="s">
        <v>31</v>
      </c>
      <c r="P5" s="8" t="s">
        <v>32</v>
      </c>
      <c r="Q5" s="8" t="s">
        <v>33</v>
      </c>
      <c r="R5" s="8" t="s">
        <v>34</v>
      </c>
      <c r="S5" s="17" t="s">
        <v>35</v>
      </c>
      <c r="T5" s="17" t="s">
        <v>36</v>
      </c>
      <c r="U5" s="17" t="s">
        <v>183</v>
      </c>
      <c r="V5" s="17" t="s">
        <v>187</v>
      </c>
      <c r="W5" s="17" t="s">
        <v>188</v>
      </c>
      <c r="X5" s="17" t="s">
        <v>189</v>
      </c>
      <c r="Y5" s="17" t="s">
        <v>302</v>
      </c>
      <c r="Z5" s="17" t="s">
        <v>354</v>
      </c>
      <c r="AA5" s="17" t="s">
        <v>355</v>
      </c>
      <c r="AB5" s="17" t="s">
        <v>393</v>
      </c>
      <c r="AC5" s="17" t="s">
        <v>398</v>
      </c>
      <c r="AD5" s="17" t="s">
        <v>428</v>
      </c>
      <c r="AE5" s="17" t="s">
        <v>435</v>
      </c>
      <c r="AF5" s="17" t="s">
        <v>438</v>
      </c>
      <c r="AG5" s="17" t="s">
        <v>439</v>
      </c>
      <c r="AH5" s="17" t="s">
        <v>442</v>
      </c>
      <c r="AI5" s="17" t="s">
        <v>443</v>
      </c>
      <c r="AK5" s="7">
        <v>2017</v>
      </c>
      <c r="AL5" s="7">
        <v>2018</v>
      </c>
      <c r="AM5" s="7">
        <v>2019</v>
      </c>
      <c r="AN5" s="7">
        <v>2020</v>
      </c>
      <c r="AO5" s="7">
        <v>2021</v>
      </c>
      <c r="AP5" s="7">
        <v>2022</v>
      </c>
      <c r="AQ5" s="7">
        <v>2023</v>
      </c>
      <c r="AR5" s="7">
        <v>2024</v>
      </c>
    </row>
    <row r="6" spans="1:48" s="4" customFormat="1" ht="16.5">
      <c r="A6"/>
    </row>
    <row r="7" spans="1:48" s="4" customFormat="1" ht="16.5">
      <c r="A7"/>
      <c r="B7" s="57" t="s">
        <v>99</v>
      </c>
      <c r="C7" s="57" t="s">
        <v>229</v>
      </c>
      <c r="D7" s="78">
        <v>37616.351999999999</v>
      </c>
      <c r="E7" s="78">
        <v>41674.754999999997</v>
      </c>
      <c r="F7" s="78">
        <v>41144.396000000001</v>
      </c>
      <c r="G7" s="78">
        <v>42734.478000000003</v>
      </c>
      <c r="H7" s="78">
        <v>39783.150999999998</v>
      </c>
      <c r="I7" s="78">
        <v>45175.555</v>
      </c>
      <c r="J7" s="78">
        <v>49402.813000000002</v>
      </c>
      <c r="K7" s="78">
        <v>47318.724999999999</v>
      </c>
      <c r="L7" s="78">
        <v>44370.33</v>
      </c>
      <c r="M7" s="78">
        <v>50842.357000000004</v>
      </c>
      <c r="N7" s="78">
        <v>52184.406000000003</v>
      </c>
      <c r="O7" s="78">
        <v>57126.482000000004</v>
      </c>
      <c r="P7" s="78">
        <v>56481.38</v>
      </c>
      <c r="Q7" s="78">
        <v>67582.33</v>
      </c>
      <c r="R7" s="78">
        <v>70081.097999999998</v>
      </c>
      <c r="S7" s="78">
        <v>76059.403617000004</v>
      </c>
      <c r="T7" s="78">
        <v>75251.217999999993</v>
      </c>
      <c r="U7" s="78">
        <v>85626.926999999996</v>
      </c>
      <c r="V7" s="78">
        <v>92625.317999999999</v>
      </c>
      <c r="W7" s="78">
        <v>97192.097999999998</v>
      </c>
      <c r="X7" s="78">
        <v>90866.573000000004</v>
      </c>
      <c r="Y7" s="78">
        <v>92191.384999999995</v>
      </c>
      <c r="Z7" s="78">
        <v>98928.157000000007</v>
      </c>
      <c r="AA7" s="78">
        <f>'Income Statement - DRE'!AA7</f>
        <v>92865.485000000001</v>
      </c>
      <c r="AB7" s="78">
        <v>86683.729000000007</v>
      </c>
      <c r="AC7" s="78">
        <v>89382.630999999994</v>
      </c>
      <c r="AD7" s="78">
        <v>91409.464000000007</v>
      </c>
      <c r="AE7" s="78">
        <v>96340.713000000003</v>
      </c>
      <c r="AF7" s="78">
        <f>+'Income Statement - DRE'!AF7</f>
        <v>89147.141000000003</v>
      </c>
      <c r="AG7" s="78">
        <f>+'Income Statement - DRE'!AG7</f>
        <v>100606.26</v>
      </c>
      <c r="AH7" s="78">
        <f>+'Income Statement - DRE'!AH7</f>
        <v>110497.857</v>
      </c>
      <c r="AI7" s="78">
        <f>'Income Statement - DRE'!AI7</f>
        <v>116700.74400000001</v>
      </c>
      <c r="AJ7" s="86"/>
      <c r="AK7" s="78">
        <f>SUM(D7:G7)</f>
        <v>163169.981</v>
      </c>
      <c r="AL7" s="78">
        <f>SUM(H7:K7)</f>
        <v>181680.24400000001</v>
      </c>
      <c r="AM7" s="78">
        <f>SUM(L7:O7)</f>
        <v>204523.57500000001</v>
      </c>
      <c r="AN7" s="78">
        <f>SUM(P7:S7)</f>
        <v>270204.21161699999</v>
      </c>
      <c r="AO7" s="78">
        <f>SUM(T7:W7)</f>
        <v>350695.56099999999</v>
      </c>
      <c r="AP7" s="78">
        <f>SUM(X7:AA7)</f>
        <v>374851.6</v>
      </c>
      <c r="AQ7" s="78">
        <f>SUM(AB7:AE7)</f>
        <v>363816.53700000001</v>
      </c>
      <c r="AR7" s="78">
        <f>SUM(AF7:AI7)</f>
        <v>416952.00200000004</v>
      </c>
    </row>
    <row r="8" spans="1:48" ht="16.5">
      <c r="B8" s="12" t="s">
        <v>100</v>
      </c>
      <c r="C8" s="12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2"/>
      <c r="AK8" s="85"/>
      <c r="AL8" s="85"/>
      <c r="AM8" s="85"/>
      <c r="AN8" s="85"/>
      <c r="AO8" s="85"/>
      <c r="AP8" s="85"/>
      <c r="AQ8" s="85"/>
      <c r="AR8" s="85"/>
    </row>
    <row r="9" spans="1:48" ht="16.5">
      <c r="B9" s="57" t="s">
        <v>1</v>
      </c>
      <c r="C9" s="57" t="s">
        <v>1</v>
      </c>
      <c r="D9" s="78">
        <v>2105.9479999999999</v>
      </c>
      <c r="E9" s="78">
        <v>3757.8009999999999</v>
      </c>
      <c r="F9" s="78">
        <v>2371.2979999999998</v>
      </c>
      <c r="G9" s="78">
        <v>2965.1169999999997</v>
      </c>
      <c r="H9" s="78">
        <v>2695.6099999999997</v>
      </c>
      <c r="I9" s="78">
        <v>4099.2919999999995</v>
      </c>
      <c r="J9" s="78">
        <v>2034.7179999999998</v>
      </c>
      <c r="K9" s="78">
        <v>3132.7629999999999</v>
      </c>
      <c r="L9" s="78">
        <v>3183.1789999999996</v>
      </c>
      <c r="M9" s="78">
        <v>5066.5680000000002</v>
      </c>
      <c r="N9" s="78">
        <v>5909.2490000000007</v>
      </c>
      <c r="O9" s="78">
        <v>5602.777</v>
      </c>
      <c r="P9" s="78">
        <v>3961.675999999999</v>
      </c>
      <c r="Q9" s="78">
        <v>10455.379675201388</v>
      </c>
      <c r="R9" s="78">
        <v>7053.4819999999991</v>
      </c>
      <c r="S9" s="78">
        <v>6816.4830904063983</v>
      </c>
      <c r="T9" s="78">
        <v>6710.2857843915099</v>
      </c>
      <c r="U9" s="78">
        <v>9538.919137414201</v>
      </c>
      <c r="V9" s="78">
        <v>13176.526588368401</v>
      </c>
      <c r="W9" s="78">
        <v>11779.630000000001</v>
      </c>
      <c r="X9" s="78">
        <v>9844.0755601739093</v>
      </c>
      <c r="Y9" s="78">
        <v>10051.790856696838</v>
      </c>
      <c r="Z9" s="78">
        <v>9431.5644542101454</v>
      </c>
      <c r="AA9" s="78">
        <v>5102.085</v>
      </c>
      <c r="AB9" s="78">
        <v>1983.6280000000002</v>
      </c>
      <c r="AC9" s="78">
        <v>4182.3240000000005</v>
      </c>
      <c r="AD9" s="56">
        <v>5226.125</v>
      </c>
      <c r="AE9" s="78">
        <v>4635.6659999999993</v>
      </c>
      <c r="AF9" s="78">
        <v>6277.5590000000002</v>
      </c>
      <c r="AG9" s="78">
        <v>8766.9950000000008</v>
      </c>
      <c r="AH9" s="78">
        <v>11629.579</v>
      </c>
      <c r="AI9" s="78">
        <v>8894.5429999999997</v>
      </c>
      <c r="AJ9" s="82"/>
      <c r="AK9" s="78">
        <f t="shared" ref="AK9:AK19" si="0">SUM(D9:G9)</f>
        <v>11200.163999999999</v>
      </c>
      <c r="AL9" s="78">
        <f t="shared" ref="AL9:AL19" si="1">SUM(H9:K9)</f>
        <v>11962.382999999998</v>
      </c>
      <c r="AM9" s="78">
        <f t="shared" ref="AM9:AM19" si="2">SUM(L9:O9)</f>
        <v>19761.773000000001</v>
      </c>
      <c r="AN9" s="78">
        <f t="shared" ref="AN9:AN19" si="3">SUM(P9:S9)</f>
        <v>28287.020765607784</v>
      </c>
      <c r="AO9" s="78">
        <f t="shared" ref="AO9:AO19" si="4">SUM(T9:W9)</f>
        <v>41205.361510174116</v>
      </c>
      <c r="AP9" s="78">
        <f>SUM(X9:AA9)</f>
        <v>34429.51587108089</v>
      </c>
      <c r="AQ9" s="78">
        <f>SUM(AB9:AE9)</f>
        <v>16027.743</v>
      </c>
      <c r="AR9" s="78">
        <f>SUM(AF9:AI9)</f>
        <v>35568.675999999999</v>
      </c>
      <c r="AS9" s="82"/>
    </row>
    <row r="10" spans="1:48" s="9" customFormat="1" ht="16.5">
      <c r="A10"/>
      <c r="B10" s="9" t="s">
        <v>102</v>
      </c>
      <c r="C10" s="9" t="s">
        <v>230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>
        <v>0</v>
      </c>
      <c r="AG10" s="76">
        <v>0</v>
      </c>
      <c r="AH10" s="76">
        <v>0</v>
      </c>
      <c r="AI10" s="76">
        <v>0</v>
      </c>
      <c r="AJ10" s="76"/>
      <c r="AK10" s="76">
        <f t="shared" si="0"/>
        <v>0</v>
      </c>
      <c r="AL10" s="76">
        <f t="shared" si="1"/>
        <v>0</v>
      </c>
      <c r="AM10" s="76">
        <f t="shared" si="2"/>
        <v>0</v>
      </c>
      <c r="AN10" s="76">
        <f t="shared" si="3"/>
        <v>0</v>
      </c>
      <c r="AO10" s="76">
        <f t="shared" si="4"/>
        <v>0</v>
      </c>
      <c r="AP10" s="76">
        <f>SUM(X10:AA10)</f>
        <v>0</v>
      </c>
      <c r="AQ10" s="76">
        <f>SUM(AB10:AE10)</f>
        <v>0</v>
      </c>
      <c r="AR10" s="76">
        <f>SUM(AF10:AI10)</f>
        <v>0</v>
      </c>
      <c r="AS10" s="82"/>
      <c r="AV10" s="9" t="s">
        <v>100</v>
      </c>
    </row>
    <row r="11" spans="1:48" s="9" customFormat="1" ht="16.5">
      <c r="A11"/>
      <c r="B11" s="34" t="s">
        <v>105</v>
      </c>
      <c r="C11" s="34" t="s">
        <v>231</v>
      </c>
      <c r="D11" s="76">
        <v>0</v>
      </c>
      <c r="E11" s="76">
        <v>0</v>
      </c>
      <c r="F11" s="76">
        <v>1763.8</v>
      </c>
      <c r="G11" s="76">
        <v>388.58800000000002</v>
      </c>
      <c r="H11" s="76">
        <v>21.69</v>
      </c>
      <c r="I11" s="76">
        <v>0</v>
      </c>
      <c r="J11" s="76">
        <v>2395.55190937</v>
      </c>
      <c r="K11" s="76">
        <v>58.05</v>
      </c>
      <c r="L11" s="76">
        <v>0</v>
      </c>
      <c r="M11" s="76">
        <v>0</v>
      </c>
      <c r="N11" s="76">
        <v>0</v>
      </c>
      <c r="O11" s="76">
        <v>288.10500000000002</v>
      </c>
      <c r="P11" s="76">
        <v>0</v>
      </c>
      <c r="Q11" s="76">
        <v>0</v>
      </c>
      <c r="R11" s="76">
        <v>0</v>
      </c>
      <c r="S11" s="76">
        <v>0</v>
      </c>
      <c r="T11" s="76">
        <v>0</v>
      </c>
      <c r="U11" s="76">
        <v>0</v>
      </c>
      <c r="V11" s="76">
        <v>0</v>
      </c>
      <c r="W11" s="76">
        <v>0</v>
      </c>
      <c r="X11" s="76">
        <v>0</v>
      </c>
      <c r="Y11" s="76">
        <v>0</v>
      </c>
      <c r="Z11" s="76">
        <v>0</v>
      </c>
      <c r="AA11" s="76">
        <v>0</v>
      </c>
      <c r="AB11" s="76">
        <v>0</v>
      </c>
      <c r="AC11" s="76">
        <v>0</v>
      </c>
      <c r="AD11" s="76">
        <v>0</v>
      </c>
      <c r="AE11" s="76">
        <v>0</v>
      </c>
      <c r="AF11" s="76">
        <v>0</v>
      </c>
      <c r="AG11" s="76">
        <v>0</v>
      </c>
      <c r="AH11" s="76">
        <v>0</v>
      </c>
      <c r="AI11" s="76">
        <v>0</v>
      </c>
      <c r="AJ11" s="76"/>
      <c r="AK11" s="76">
        <f t="shared" si="0"/>
        <v>2152.3879999999999</v>
      </c>
      <c r="AL11" s="76">
        <f t="shared" si="1"/>
        <v>2475.2919093700002</v>
      </c>
      <c r="AM11" s="76">
        <f t="shared" si="2"/>
        <v>288.10500000000002</v>
      </c>
      <c r="AN11" s="76">
        <f t="shared" si="3"/>
        <v>0</v>
      </c>
      <c r="AO11" s="76">
        <f t="shared" si="4"/>
        <v>0</v>
      </c>
      <c r="AP11" s="76">
        <f>SUM(X11:AA11)</f>
        <v>0</v>
      </c>
      <c r="AQ11" s="76">
        <f>SUM(AB11:AE11)</f>
        <v>0</v>
      </c>
      <c r="AR11" s="76">
        <f t="shared" ref="AR11:AR28" si="5">SUM(AF11:AI11)</f>
        <v>0</v>
      </c>
      <c r="AS11" s="82"/>
    </row>
    <row r="12" spans="1:48" s="9" customFormat="1" ht="16.5">
      <c r="A12"/>
      <c r="B12" s="34" t="s">
        <v>453</v>
      </c>
      <c r="C12" s="34" t="s">
        <v>356</v>
      </c>
      <c r="D12" s="76">
        <v>4.7E-2</v>
      </c>
      <c r="E12" s="76">
        <v>3.9E-2</v>
      </c>
      <c r="F12" s="76">
        <f>74.581+109.6</f>
        <v>184.18099999999998</v>
      </c>
      <c r="G12" s="76">
        <f>116.936+(-272.3)</f>
        <v>-155.364</v>
      </c>
      <c r="H12" s="76">
        <v>61.557000000000002</v>
      </c>
      <c r="I12" s="76">
        <v>14.923999999999999</v>
      </c>
      <c r="J12" s="76">
        <f>38.689+6.7-54.6</f>
        <v>-9.2109999999999985</v>
      </c>
      <c r="K12" s="76">
        <f>73.602+77.8</f>
        <v>151.40199999999999</v>
      </c>
      <c r="L12" s="76">
        <v>2.3149999999999999</v>
      </c>
      <c r="M12" s="76">
        <v>26.091999999999999</v>
      </c>
      <c r="N12" s="76">
        <v>12.005000000000001</v>
      </c>
      <c r="O12" s="76">
        <v>-220.97200000000001</v>
      </c>
      <c r="P12" s="76">
        <v>-48.963999999999999</v>
      </c>
      <c r="Q12" s="76">
        <v>40.807000000000002</v>
      </c>
      <c r="R12" s="76">
        <v>14.51</v>
      </c>
      <c r="S12" s="76">
        <v>83.042105000000006</v>
      </c>
      <c r="T12" s="76">
        <v>-7.0999999999999994E-2</v>
      </c>
      <c r="U12" s="76">
        <v>19.980421999999997</v>
      </c>
      <c r="V12" s="76">
        <v>39.492499000000002</v>
      </c>
      <c r="W12" s="76">
        <v>92.921567999999994</v>
      </c>
      <c r="X12" s="76">
        <v>10.103</v>
      </c>
      <c r="Y12" s="76">
        <v>33.79</v>
      </c>
      <c r="Z12" s="76">
        <v>-64.578999999999994</v>
      </c>
      <c r="AA12" s="76">
        <v>-219.66</v>
      </c>
      <c r="AB12" s="76">
        <v>-67.831000000000003</v>
      </c>
      <c r="AC12" s="76">
        <v>8.2657403473531019</v>
      </c>
      <c r="AD12" s="76">
        <v>109.81619999999999</v>
      </c>
      <c r="AE12" s="76">
        <v>71.296438223111195</v>
      </c>
      <c r="AF12" s="76">
        <v>5.458811000000976</v>
      </c>
      <c r="AG12" s="76">
        <v>42.722000000000001</v>
      </c>
      <c r="AH12" s="76">
        <v>42.955474000000301</v>
      </c>
      <c r="AI12" s="76">
        <v>87.432417427166101</v>
      </c>
      <c r="AJ12" s="76"/>
      <c r="AK12" s="76">
        <f t="shared" si="0"/>
        <v>28.902999999999992</v>
      </c>
      <c r="AL12" s="76">
        <f t="shared" si="1"/>
        <v>218.67199999999997</v>
      </c>
      <c r="AM12" s="76">
        <f t="shared" si="2"/>
        <v>-180.56</v>
      </c>
      <c r="AN12" s="76">
        <f t="shared" si="3"/>
        <v>89.395105000000015</v>
      </c>
      <c r="AO12" s="76">
        <f>SUM(T12:W12)</f>
        <v>152.323489</v>
      </c>
      <c r="AP12" s="76">
        <f>SUM(X12:AA12)</f>
        <v>-240.346</v>
      </c>
      <c r="AQ12" s="76">
        <f t="shared" ref="AQ12:AQ14" si="6">SUM(AB12:AE12)</f>
        <v>121.54737857046429</v>
      </c>
      <c r="AR12" s="76">
        <f t="shared" si="5"/>
        <v>178.56870242716738</v>
      </c>
      <c r="AS12" s="82"/>
    </row>
    <row r="13" spans="1:48" s="9" customFormat="1" ht="16.5">
      <c r="A13"/>
      <c r="B13" s="34" t="s">
        <v>452</v>
      </c>
      <c r="C13" s="34" t="s">
        <v>436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  <c r="N13" s="76">
        <v>0</v>
      </c>
      <c r="O13" s="76">
        <v>0</v>
      </c>
      <c r="P13" s="76">
        <v>0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v>0</v>
      </c>
      <c r="W13" s="76">
        <v>0</v>
      </c>
      <c r="X13" s="76">
        <v>0</v>
      </c>
      <c r="Y13" s="76">
        <v>0</v>
      </c>
      <c r="Z13" s="76">
        <v>0</v>
      </c>
      <c r="AA13" s="76">
        <v>147.36699999999999</v>
      </c>
      <c r="AB13" s="76">
        <v>53.01741987574637</v>
      </c>
      <c r="AC13" s="76">
        <v>162.6713986526469</v>
      </c>
      <c r="AD13" s="76">
        <v>8.5977999999999994</v>
      </c>
      <c r="AE13" s="76">
        <v>36.719600999999997</v>
      </c>
      <c r="AF13" s="76">
        <v>74.079532</v>
      </c>
      <c r="AG13" s="76">
        <v>194.071</v>
      </c>
      <c r="AH13" s="76">
        <v>170.99373900000001</v>
      </c>
      <c r="AI13" s="76">
        <v>73.412265031547562</v>
      </c>
      <c r="AJ13" s="76"/>
      <c r="AK13" s="76"/>
      <c r="AL13" s="76"/>
      <c r="AM13" s="76"/>
      <c r="AN13" s="76"/>
      <c r="AO13" s="76">
        <f t="shared" ref="AO13:AO14" si="7">SUM(T13:W13)</f>
        <v>0</v>
      </c>
      <c r="AP13" s="76">
        <f>SUM(X13:AA13)</f>
        <v>147.36699999999999</v>
      </c>
      <c r="AQ13" s="76">
        <f t="shared" si="6"/>
        <v>261.00621952839327</v>
      </c>
      <c r="AR13" s="76">
        <f t="shared" si="5"/>
        <v>512.55653603154758</v>
      </c>
      <c r="AS13" s="82"/>
    </row>
    <row r="14" spans="1:48" s="9" customFormat="1" ht="16.5">
      <c r="A14"/>
      <c r="B14" s="34" t="s">
        <v>451</v>
      </c>
      <c r="C14" s="34" t="s">
        <v>437</v>
      </c>
      <c r="D14" s="76">
        <v>0</v>
      </c>
      <c r="E14" s="76">
        <v>0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  <c r="U14" s="76">
        <v>0</v>
      </c>
      <c r="V14" s="76">
        <v>0</v>
      </c>
      <c r="W14" s="76">
        <v>0</v>
      </c>
      <c r="X14" s="76">
        <v>85.600999999999999</v>
      </c>
      <c r="Y14" s="76">
        <v>0</v>
      </c>
      <c r="Z14" s="76"/>
      <c r="AA14" s="76">
        <v>0</v>
      </c>
      <c r="AB14" s="76">
        <v>108.18899999999999</v>
      </c>
      <c r="AC14" s="76">
        <v>4.5448140000000006</v>
      </c>
      <c r="AD14" s="76">
        <v>-4.4340000000000002</v>
      </c>
      <c r="AE14" s="76">
        <v>26.905944999999999</v>
      </c>
      <c r="AF14" s="76">
        <v>0</v>
      </c>
      <c r="AG14" s="76">
        <v>0</v>
      </c>
      <c r="AH14" s="76">
        <v>0</v>
      </c>
      <c r="AI14" s="76">
        <v>0</v>
      </c>
      <c r="AJ14" s="76"/>
      <c r="AK14" s="76"/>
      <c r="AL14" s="76"/>
      <c r="AM14" s="76"/>
      <c r="AN14" s="76"/>
      <c r="AO14" s="76">
        <f t="shared" si="7"/>
        <v>0</v>
      </c>
      <c r="AP14" s="76">
        <f t="shared" ref="AP14" si="8">SUM(X14:AA14)</f>
        <v>85.600999999999999</v>
      </c>
      <c r="AQ14" s="76">
        <f t="shared" si="6"/>
        <v>135.205759</v>
      </c>
      <c r="AR14" s="76">
        <f t="shared" si="5"/>
        <v>0</v>
      </c>
      <c r="AS14" s="82"/>
    </row>
    <row r="15" spans="1:48" s="9" customFormat="1" ht="16.5">
      <c r="A15"/>
      <c r="B15" s="34" t="s">
        <v>103</v>
      </c>
      <c r="C15" s="34" t="s">
        <v>232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76">
        <v>0</v>
      </c>
      <c r="S15" s="76">
        <v>-421.01400000000001</v>
      </c>
      <c r="T15" s="76">
        <v>-53.99</v>
      </c>
      <c r="U15" s="76">
        <v>-55.593000000000004</v>
      </c>
      <c r="V15" s="76">
        <v>6.202</v>
      </c>
      <c r="W15" s="76">
        <v>2.3079999999999998</v>
      </c>
      <c r="X15" s="76">
        <v>0</v>
      </c>
      <c r="Y15" s="76">
        <v>0</v>
      </c>
      <c r="Z15" s="76">
        <v>0</v>
      </c>
      <c r="AA15" s="76">
        <v>0</v>
      </c>
      <c r="AB15" s="76">
        <v>0</v>
      </c>
      <c r="AC15" s="76">
        <v>0</v>
      </c>
      <c r="AD15" s="76">
        <v>0</v>
      </c>
      <c r="AE15" s="76">
        <v>0</v>
      </c>
      <c r="AF15" s="76">
        <v>0</v>
      </c>
      <c r="AG15" s="76">
        <v>0</v>
      </c>
      <c r="AH15" s="76">
        <v>0</v>
      </c>
      <c r="AI15" s="76">
        <v>0</v>
      </c>
      <c r="AJ15" s="76"/>
      <c r="AK15" s="76">
        <f t="shared" si="0"/>
        <v>0</v>
      </c>
      <c r="AL15" s="76">
        <f t="shared" si="1"/>
        <v>0</v>
      </c>
      <c r="AM15" s="76">
        <f t="shared" si="2"/>
        <v>0</v>
      </c>
      <c r="AN15" s="76">
        <f t="shared" si="3"/>
        <v>-421.01400000000001</v>
      </c>
      <c r="AO15" s="76">
        <f t="shared" si="4"/>
        <v>-101.07300000000001</v>
      </c>
      <c r="AP15" s="76">
        <f t="shared" ref="AP15:AP22" si="9">SUM(X15:AA15)</f>
        <v>0</v>
      </c>
      <c r="AQ15" s="76">
        <f t="shared" ref="AQ15:AQ19" si="10">SUM(AB15:AE15)</f>
        <v>0</v>
      </c>
      <c r="AR15" s="76">
        <f t="shared" si="5"/>
        <v>0</v>
      </c>
      <c r="AS15" s="82"/>
    </row>
    <row r="16" spans="1:48" s="9" customFormat="1" ht="16.5">
      <c r="A16"/>
      <c r="B16" s="34" t="s">
        <v>182</v>
      </c>
      <c r="C16" s="34" t="s">
        <v>233</v>
      </c>
      <c r="D16" s="76">
        <v>0</v>
      </c>
      <c r="E16" s="76">
        <v>0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746.2</v>
      </c>
      <c r="S16" s="76">
        <v>536.94218899999998</v>
      </c>
      <c r="T16" s="76">
        <v>192.37</v>
      </c>
      <c r="U16" s="76">
        <v>2188.8904640000001</v>
      </c>
      <c r="V16" s="76">
        <v>703.38223400000004</v>
      </c>
      <c r="W16" s="76">
        <v>1170.054809</v>
      </c>
      <c r="X16" s="76">
        <v>88.751999999999995</v>
      </c>
      <c r="Y16" s="76">
        <v>238.57</v>
      </c>
      <c r="Z16" s="76">
        <v>164.30699999999999</v>
      </c>
      <c r="AA16" s="76">
        <v>24.725000000000001</v>
      </c>
      <c r="AB16" s="76">
        <v>71.165999999999997</v>
      </c>
      <c r="AC16" s="76">
        <v>89.125</v>
      </c>
      <c r="AD16" s="76">
        <v>51.244784000000003</v>
      </c>
      <c r="AE16" s="76">
        <v>298.693603</v>
      </c>
      <c r="AF16" s="76">
        <v>23.236657000000001</v>
      </c>
      <c r="AG16" s="76">
        <v>394.33022599999998</v>
      </c>
      <c r="AH16" s="76">
        <v>3.8817869999999997</v>
      </c>
      <c r="AI16" s="76">
        <v>1009.3543186848411</v>
      </c>
      <c r="AJ16" s="76"/>
      <c r="AK16" s="76">
        <f t="shared" si="0"/>
        <v>0</v>
      </c>
      <c r="AL16" s="76">
        <f t="shared" si="1"/>
        <v>0</v>
      </c>
      <c r="AM16" s="76">
        <f t="shared" si="2"/>
        <v>0</v>
      </c>
      <c r="AN16" s="76">
        <f t="shared" si="3"/>
        <v>1283.1421890000001</v>
      </c>
      <c r="AO16" s="76">
        <f t="shared" si="4"/>
        <v>4254.6975069999999</v>
      </c>
      <c r="AP16" s="76">
        <f t="shared" si="9"/>
        <v>516.35400000000004</v>
      </c>
      <c r="AQ16" s="150">
        <f t="shared" si="10"/>
        <v>510.22938699999997</v>
      </c>
      <c r="AR16" s="76">
        <f t="shared" si="5"/>
        <v>1430.802988684841</v>
      </c>
      <c r="AS16" s="82"/>
    </row>
    <row r="17" spans="1:45" s="9" customFormat="1" ht="16.5">
      <c r="A17"/>
      <c r="B17" s="34" t="s">
        <v>104</v>
      </c>
      <c r="C17" s="34" t="s">
        <v>234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  <c r="Q17" s="76">
        <v>115.27200000000001</v>
      </c>
      <c r="R17" s="76">
        <v>181.89500000000001</v>
      </c>
      <c r="S17" s="76">
        <v>18.93775209</v>
      </c>
      <c r="T17" s="76">
        <v>27.164999999999999</v>
      </c>
      <c r="U17" s="76">
        <v>7.9720000000000004</v>
      </c>
      <c r="V17" s="76">
        <v>1.9990000000000001</v>
      </c>
      <c r="W17" s="76">
        <v>63.795999999999999</v>
      </c>
      <c r="X17" s="76">
        <v>53.259</v>
      </c>
      <c r="Y17" s="76">
        <v>39.21</v>
      </c>
      <c r="Z17" s="76">
        <v>12.023999999999999</v>
      </c>
      <c r="AA17" s="76">
        <v>12.904999999999999</v>
      </c>
      <c r="AB17" s="76">
        <v>14.186</v>
      </c>
      <c r="AC17" s="76">
        <v>23.05</v>
      </c>
      <c r="AD17" s="76">
        <v>18.049900000000001</v>
      </c>
      <c r="AE17" s="76">
        <v>35.078699999999998</v>
      </c>
      <c r="AF17" s="76">
        <v>48.515000000000001</v>
      </c>
      <c r="AG17" s="76">
        <v>24.965</v>
      </c>
      <c r="AH17" s="76">
        <v>19.914999999999999</v>
      </c>
      <c r="AI17" s="76">
        <v>25.102</v>
      </c>
      <c r="AJ17" s="76"/>
      <c r="AK17" s="76">
        <f t="shared" si="0"/>
        <v>0</v>
      </c>
      <c r="AL17" s="76">
        <f t="shared" si="1"/>
        <v>0</v>
      </c>
      <c r="AM17" s="76">
        <f t="shared" si="2"/>
        <v>0</v>
      </c>
      <c r="AN17" s="76">
        <f t="shared" si="3"/>
        <v>316.10475209000003</v>
      </c>
      <c r="AO17" s="76">
        <f t="shared" si="4"/>
        <v>100.932</v>
      </c>
      <c r="AP17" s="76">
        <f t="shared" si="9"/>
        <v>117.398</v>
      </c>
      <c r="AQ17" s="150">
        <f t="shared" si="10"/>
        <v>90.364599999999996</v>
      </c>
      <c r="AR17" s="76">
        <f t="shared" si="5"/>
        <v>118.49700000000001</v>
      </c>
      <c r="AS17" s="82"/>
    </row>
    <row r="18" spans="1:45" s="9" customFormat="1" ht="16.5">
      <c r="A18"/>
      <c r="B18" s="34" t="s">
        <v>185</v>
      </c>
      <c r="C18" s="34" t="s">
        <v>235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1</v>
      </c>
      <c r="U18" s="76">
        <v>6</v>
      </c>
      <c r="V18" s="76">
        <v>1.5</v>
      </c>
      <c r="W18" s="76">
        <v>41.5</v>
      </c>
      <c r="X18" s="76">
        <v>3</v>
      </c>
      <c r="Y18" s="76">
        <v>0</v>
      </c>
      <c r="Z18" s="76">
        <v>2.5</v>
      </c>
      <c r="AA18" s="76">
        <v>0</v>
      </c>
      <c r="AB18" s="76">
        <v>0</v>
      </c>
      <c r="AC18" s="76">
        <v>0</v>
      </c>
      <c r="AD18" s="76">
        <v>0</v>
      </c>
      <c r="AE18" s="76">
        <v>0</v>
      </c>
      <c r="AF18" s="76">
        <v>0</v>
      </c>
      <c r="AG18" s="76">
        <v>0</v>
      </c>
      <c r="AH18" s="76">
        <v>0</v>
      </c>
      <c r="AI18" s="76">
        <v>0</v>
      </c>
      <c r="AJ18" s="76"/>
      <c r="AK18" s="76">
        <f t="shared" si="0"/>
        <v>0</v>
      </c>
      <c r="AL18" s="76">
        <f t="shared" si="1"/>
        <v>0</v>
      </c>
      <c r="AM18" s="76">
        <f t="shared" si="2"/>
        <v>0</v>
      </c>
      <c r="AN18" s="76">
        <f t="shared" si="3"/>
        <v>0</v>
      </c>
      <c r="AO18" s="76">
        <f t="shared" si="4"/>
        <v>50</v>
      </c>
      <c r="AP18" s="76">
        <f t="shared" si="9"/>
        <v>5.5</v>
      </c>
      <c r="AQ18" s="76">
        <f t="shared" si="10"/>
        <v>0</v>
      </c>
      <c r="AR18" s="76">
        <f t="shared" si="5"/>
        <v>0</v>
      </c>
      <c r="AS18" s="82"/>
    </row>
    <row r="19" spans="1:45" s="9" customFormat="1" ht="16.5">
      <c r="A19"/>
      <c r="B19" s="34" t="s">
        <v>457</v>
      </c>
      <c r="C19" s="34" t="s">
        <v>458</v>
      </c>
      <c r="D19" s="76">
        <v>34.552</v>
      </c>
      <c r="E19" s="76">
        <v>0</v>
      </c>
      <c r="F19" s="76">
        <v>0</v>
      </c>
      <c r="G19" s="76">
        <v>0</v>
      </c>
      <c r="H19" s="76">
        <v>9.6300000000000008</v>
      </c>
      <c r="I19" s="76">
        <v>10.494</v>
      </c>
      <c r="J19" s="76">
        <v>10.726000000000001</v>
      </c>
      <c r="K19" s="76">
        <v>49.668999999999997</v>
      </c>
      <c r="L19" s="76">
        <v>5.8419999999999996</v>
      </c>
      <c r="M19" s="76">
        <v>5.9450000000000003</v>
      </c>
      <c r="N19" s="76">
        <v>0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  <c r="T19" s="76">
        <v>0</v>
      </c>
      <c r="U19" s="76">
        <v>0</v>
      </c>
      <c r="V19" s="76">
        <v>0</v>
      </c>
      <c r="W19" s="76">
        <v>0</v>
      </c>
      <c r="X19" s="76">
        <v>0</v>
      </c>
      <c r="Y19" s="76">
        <v>0</v>
      </c>
      <c r="Z19" s="76">
        <v>0</v>
      </c>
      <c r="AA19" s="76">
        <v>-492.92200000000003</v>
      </c>
      <c r="AB19" s="76">
        <v>0</v>
      </c>
      <c r="AC19" s="76">
        <v>0</v>
      </c>
      <c r="AD19" s="76">
        <v>0</v>
      </c>
      <c r="AE19" s="76">
        <v>0</v>
      </c>
      <c r="AF19" s="76">
        <v>0</v>
      </c>
      <c r="AG19" s="76">
        <v>0</v>
      </c>
      <c r="AH19" s="76">
        <v>0</v>
      </c>
      <c r="AI19" s="76">
        <v>0</v>
      </c>
      <c r="AJ19" s="76"/>
      <c r="AK19" s="76">
        <f t="shared" si="0"/>
        <v>34.552</v>
      </c>
      <c r="AL19" s="76">
        <f t="shared" si="1"/>
        <v>80.519000000000005</v>
      </c>
      <c r="AM19" s="76">
        <f t="shared" si="2"/>
        <v>11.786999999999999</v>
      </c>
      <c r="AN19" s="76">
        <f t="shared" si="3"/>
        <v>0</v>
      </c>
      <c r="AO19" s="76">
        <f t="shared" si="4"/>
        <v>0</v>
      </c>
      <c r="AP19" s="76">
        <f t="shared" si="9"/>
        <v>-492.92200000000003</v>
      </c>
      <c r="AQ19" s="76">
        <f t="shared" si="10"/>
        <v>0</v>
      </c>
      <c r="AR19" s="76">
        <f t="shared" si="5"/>
        <v>0</v>
      </c>
      <c r="AS19" s="82"/>
    </row>
    <row r="20" spans="1:45" s="9" customFormat="1" ht="16.5">
      <c r="A20"/>
      <c r="B20" s="34" t="s">
        <v>449</v>
      </c>
      <c r="C20" s="34" t="s">
        <v>440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>
        <v>32.453000000000003</v>
      </c>
      <c r="AH20" s="76">
        <v>72.599999999999994</v>
      </c>
      <c r="AI20" s="76">
        <v>0</v>
      </c>
      <c r="AJ20" s="76"/>
      <c r="AK20" s="76"/>
      <c r="AL20" s="76"/>
      <c r="AM20" s="76"/>
      <c r="AN20" s="76"/>
      <c r="AO20" s="76">
        <f t="shared" ref="AO20:AO22" si="11">SUM(T20:W20)</f>
        <v>0</v>
      </c>
      <c r="AP20" s="76">
        <f t="shared" si="9"/>
        <v>0</v>
      </c>
      <c r="AQ20" s="76">
        <f t="shared" ref="AQ20:AQ28" si="12">SUM(AB20:AE20)</f>
        <v>0</v>
      </c>
      <c r="AR20" s="76">
        <f t="shared" si="5"/>
        <v>105.053</v>
      </c>
      <c r="AS20" s="82"/>
    </row>
    <row r="21" spans="1:45" s="9" customFormat="1" ht="16.5">
      <c r="A21"/>
      <c r="B21" s="34" t="s">
        <v>450</v>
      </c>
      <c r="C21" s="34" t="s">
        <v>441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>
        <v>426.57900000000001</v>
      </c>
      <c r="AH21" s="76">
        <v>0</v>
      </c>
      <c r="AI21" s="76">
        <v>0</v>
      </c>
      <c r="AJ21" s="76"/>
      <c r="AK21" s="76"/>
      <c r="AL21" s="76"/>
      <c r="AM21" s="76"/>
      <c r="AN21" s="76"/>
      <c r="AO21" s="76">
        <f t="shared" si="11"/>
        <v>0</v>
      </c>
      <c r="AP21" s="76">
        <f t="shared" si="9"/>
        <v>0</v>
      </c>
      <c r="AQ21" s="76">
        <f t="shared" si="12"/>
        <v>0</v>
      </c>
      <c r="AR21" s="76">
        <f t="shared" si="5"/>
        <v>426.57900000000001</v>
      </c>
      <c r="AS21" s="82"/>
    </row>
    <row r="22" spans="1:45" s="9" customFormat="1" ht="16.5">
      <c r="A22"/>
      <c r="B22" s="34" t="s">
        <v>434</v>
      </c>
      <c r="C22" s="34" t="s">
        <v>433</v>
      </c>
      <c r="D22" s="76">
        <v>0</v>
      </c>
      <c r="E22" s="76">
        <v>0</v>
      </c>
      <c r="F22" s="76">
        <v>0</v>
      </c>
      <c r="G22" s="76">
        <v>0</v>
      </c>
      <c r="H22" s="76">
        <v>0</v>
      </c>
      <c r="I22" s="76">
        <v>112.892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  <c r="R22" s="76">
        <v>0</v>
      </c>
      <c r="S22" s="76">
        <v>0</v>
      </c>
      <c r="T22" s="76">
        <v>0</v>
      </c>
      <c r="U22" s="76">
        <v>0</v>
      </c>
      <c r="V22" s="76">
        <v>0</v>
      </c>
      <c r="W22" s="76">
        <v>0</v>
      </c>
      <c r="X22" s="76">
        <v>0</v>
      </c>
      <c r="Y22" s="76">
        <v>0</v>
      </c>
      <c r="Z22" s="76">
        <v>0</v>
      </c>
      <c r="AA22" s="76">
        <v>0</v>
      </c>
      <c r="AB22" s="76">
        <v>0</v>
      </c>
      <c r="AC22" s="76">
        <v>0</v>
      </c>
      <c r="AD22" s="76">
        <v>0</v>
      </c>
      <c r="AE22" s="76">
        <v>0</v>
      </c>
      <c r="AF22" s="76">
        <v>0</v>
      </c>
      <c r="AG22" s="76">
        <v>0</v>
      </c>
      <c r="AH22" s="76">
        <v>0</v>
      </c>
      <c r="AI22" s="76">
        <v>0</v>
      </c>
      <c r="AJ22" s="76"/>
      <c r="AK22" s="76"/>
      <c r="AL22" s="76"/>
      <c r="AM22" s="76"/>
      <c r="AN22" s="76"/>
      <c r="AO22" s="76">
        <f t="shared" si="11"/>
        <v>0</v>
      </c>
      <c r="AP22" s="76">
        <f t="shared" si="9"/>
        <v>0</v>
      </c>
      <c r="AQ22" s="76">
        <f t="shared" si="12"/>
        <v>0</v>
      </c>
      <c r="AR22" s="76">
        <f t="shared" si="5"/>
        <v>0</v>
      </c>
      <c r="AS22" s="82"/>
    </row>
    <row r="23" spans="1:45" s="9" customFormat="1" ht="16.5" hidden="1">
      <c r="A23"/>
      <c r="B23" s="34"/>
      <c r="C23" s="34" t="s">
        <v>395</v>
      </c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>
        <v>108.18899999999999</v>
      </c>
      <c r="AC23" s="144">
        <v>4.5448140000000006</v>
      </c>
      <c r="AD23" s="144">
        <v>0</v>
      </c>
      <c r="AE23" s="144">
        <v>0</v>
      </c>
      <c r="AF23" s="144">
        <v>0</v>
      </c>
      <c r="AG23" s="144">
        <v>0</v>
      </c>
      <c r="AH23" s="144">
        <v>0</v>
      </c>
      <c r="AI23" s="144">
        <v>0</v>
      </c>
      <c r="AJ23" s="144"/>
      <c r="AK23" s="144"/>
      <c r="AL23" s="144"/>
      <c r="AM23" s="144"/>
      <c r="AN23" s="144"/>
      <c r="AO23" s="144"/>
      <c r="AP23" s="144"/>
      <c r="AQ23" s="76">
        <f t="shared" si="12"/>
        <v>112.733814</v>
      </c>
      <c r="AR23" s="76">
        <f t="shared" si="5"/>
        <v>0</v>
      </c>
      <c r="AS23" s="82"/>
    </row>
    <row r="24" spans="1:45" s="9" customFormat="1" ht="16.5" hidden="1">
      <c r="A24"/>
      <c r="B24" s="34"/>
      <c r="C24" s="34" t="s">
        <v>396</v>
      </c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>
        <v>-99.144000000000005</v>
      </c>
      <c r="AC24" s="144">
        <v>0</v>
      </c>
      <c r="AD24" s="144">
        <v>0</v>
      </c>
      <c r="AE24" s="144">
        <v>0</v>
      </c>
      <c r="AF24" s="144">
        <v>0</v>
      </c>
      <c r="AG24" s="144">
        <v>0</v>
      </c>
      <c r="AH24" s="144">
        <v>0</v>
      </c>
      <c r="AI24" s="144">
        <v>0</v>
      </c>
      <c r="AJ24" s="144"/>
      <c r="AK24" s="144"/>
      <c r="AL24" s="144"/>
      <c r="AM24" s="144"/>
      <c r="AN24" s="144"/>
      <c r="AO24" s="144"/>
      <c r="AP24" s="144"/>
      <c r="AQ24" s="76">
        <f t="shared" si="12"/>
        <v>-99.144000000000005</v>
      </c>
      <c r="AR24" s="76">
        <f t="shared" si="5"/>
        <v>0</v>
      </c>
      <c r="AS24" s="82"/>
    </row>
    <row r="25" spans="1:45" s="9" customFormat="1" ht="16.5" hidden="1">
      <c r="A25"/>
      <c r="B25" s="34"/>
      <c r="C25" s="34" t="s">
        <v>397</v>
      </c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>
        <v>41.655000000000001</v>
      </c>
      <c r="AC25" s="144">
        <v>0</v>
      </c>
      <c r="AD25" s="144">
        <v>0</v>
      </c>
      <c r="AE25" s="144">
        <v>0</v>
      </c>
      <c r="AF25" s="144">
        <v>0</v>
      </c>
      <c r="AG25" s="144">
        <v>0</v>
      </c>
      <c r="AH25" s="144">
        <v>0</v>
      </c>
      <c r="AI25" s="144">
        <v>0</v>
      </c>
      <c r="AJ25" s="144"/>
      <c r="AK25" s="144"/>
      <c r="AL25" s="144"/>
      <c r="AM25" s="144"/>
      <c r="AN25" s="144"/>
      <c r="AO25" s="144"/>
      <c r="AP25" s="144"/>
      <c r="AQ25" s="76">
        <f t="shared" si="12"/>
        <v>41.655000000000001</v>
      </c>
      <c r="AR25" s="76">
        <f t="shared" si="5"/>
        <v>0</v>
      </c>
      <c r="AS25" s="82"/>
    </row>
    <row r="26" spans="1:45" s="9" customFormat="1" ht="16.5">
      <c r="A26"/>
      <c r="B26" s="34" t="s">
        <v>454</v>
      </c>
      <c r="C26" s="34" t="s">
        <v>444</v>
      </c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>
        <v>356.5</v>
      </c>
      <c r="AJ26" s="76"/>
      <c r="AK26" s="76"/>
      <c r="AL26" s="76"/>
      <c r="AM26" s="76"/>
      <c r="AN26" s="76"/>
      <c r="AO26" s="76"/>
      <c r="AP26" s="76"/>
      <c r="AQ26" s="76">
        <f t="shared" si="12"/>
        <v>0</v>
      </c>
      <c r="AR26" s="76">
        <f t="shared" si="5"/>
        <v>356.5</v>
      </c>
      <c r="AS26" s="82"/>
    </row>
    <row r="27" spans="1:45" s="9" customFormat="1" ht="16.5">
      <c r="A27"/>
      <c r="B27" s="34" t="s">
        <v>455</v>
      </c>
      <c r="C27" s="34" t="s">
        <v>445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>
        <v>0</v>
      </c>
      <c r="AI27" s="76">
        <v>342.697</v>
      </c>
      <c r="AJ27" s="76"/>
      <c r="AK27" s="76"/>
      <c r="AL27" s="76"/>
      <c r="AM27" s="76"/>
      <c r="AN27" s="76"/>
      <c r="AO27" s="76"/>
      <c r="AP27" s="76"/>
      <c r="AQ27" s="76">
        <f t="shared" si="12"/>
        <v>0</v>
      </c>
      <c r="AR27" s="76">
        <f t="shared" si="5"/>
        <v>342.697</v>
      </c>
      <c r="AS27" s="82"/>
    </row>
    <row r="28" spans="1:45" ht="16.5">
      <c r="B28" s="24"/>
      <c r="C28" s="24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>
        <v>0</v>
      </c>
      <c r="AJ28" s="82"/>
      <c r="AK28" s="85">
        <f>SUM(D28:G28)</f>
        <v>0</v>
      </c>
      <c r="AL28" s="85">
        <f>SUM(H28:K28)</f>
        <v>0</v>
      </c>
      <c r="AM28" s="85">
        <f>SUM(L28:O28)</f>
        <v>0</v>
      </c>
      <c r="AN28" s="85">
        <f>SUM(P28:S28)</f>
        <v>0</v>
      </c>
      <c r="AO28" s="76">
        <f t="shared" ref="AO28" si="13">SUM(T28:W28)</f>
        <v>0</v>
      </c>
      <c r="AP28" s="76">
        <f>SUM(X28:AA28)</f>
        <v>0</v>
      </c>
      <c r="AQ28" s="76">
        <f t="shared" si="12"/>
        <v>0</v>
      </c>
      <c r="AR28" s="76">
        <f t="shared" si="5"/>
        <v>0</v>
      </c>
      <c r="AS28" s="82"/>
    </row>
    <row r="29" spans="1:45" ht="16.5">
      <c r="B29" s="57" t="s">
        <v>101</v>
      </c>
      <c r="C29" s="57" t="s">
        <v>236</v>
      </c>
      <c r="D29" s="78">
        <f t="shared" ref="D29:AC29" si="14">SUM(D9:D22)</f>
        <v>2140.547</v>
      </c>
      <c r="E29" s="78">
        <f t="shared" si="14"/>
        <v>3757.84</v>
      </c>
      <c r="F29" s="78">
        <f t="shared" si="14"/>
        <v>4319.2789999999995</v>
      </c>
      <c r="G29" s="78">
        <f t="shared" si="14"/>
        <v>3198.3409999999999</v>
      </c>
      <c r="H29" s="78">
        <f t="shared" si="14"/>
        <v>2788.4869999999996</v>
      </c>
      <c r="I29" s="78">
        <f t="shared" si="14"/>
        <v>4237.601999999999</v>
      </c>
      <c r="J29" s="78">
        <f t="shared" si="14"/>
        <v>4431.7849093699988</v>
      </c>
      <c r="K29" s="78">
        <f t="shared" si="14"/>
        <v>3391.884</v>
      </c>
      <c r="L29" s="78">
        <f t="shared" si="14"/>
        <v>3191.3359999999998</v>
      </c>
      <c r="M29" s="78">
        <f t="shared" si="14"/>
        <v>5098.6049999999996</v>
      </c>
      <c r="N29" s="78">
        <f t="shared" si="14"/>
        <v>5921.2540000000008</v>
      </c>
      <c r="O29" s="78">
        <f t="shared" si="14"/>
        <v>5669.91</v>
      </c>
      <c r="P29" s="78">
        <f t="shared" si="14"/>
        <v>3912.7119999999991</v>
      </c>
      <c r="Q29" s="78">
        <f t="shared" si="14"/>
        <v>10611.458675201389</v>
      </c>
      <c r="R29" s="78">
        <f t="shared" si="14"/>
        <v>7996.0869999999995</v>
      </c>
      <c r="S29" s="78">
        <f t="shared" si="14"/>
        <v>7034.3911364963988</v>
      </c>
      <c r="T29" s="78">
        <f t="shared" si="14"/>
        <v>6876.75978439151</v>
      </c>
      <c r="U29" s="78">
        <f t="shared" si="14"/>
        <v>11706.169023414201</v>
      </c>
      <c r="V29" s="78">
        <f t="shared" si="14"/>
        <v>13929.1023213684</v>
      </c>
      <c r="W29" s="78">
        <f t="shared" si="14"/>
        <v>13150.210377000001</v>
      </c>
      <c r="X29" s="78">
        <f t="shared" si="14"/>
        <v>10084.790560173909</v>
      </c>
      <c r="Y29" s="78">
        <f t="shared" si="14"/>
        <v>10363.360856696838</v>
      </c>
      <c r="Z29" s="78">
        <f t="shared" si="14"/>
        <v>9545.8164542101458</v>
      </c>
      <c r="AA29" s="78">
        <f t="shared" si="14"/>
        <v>4574.5</v>
      </c>
      <c r="AB29" s="78">
        <f t="shared" si="14"/>
        <v>2162.355419875747</v>
      </c>
      <c r="AC29" s="78">
        <f t="shared" si="14"/>
        <v>4469.9809530000002</v>
      </c>
      <c r="AD29" s="78">
        <f>SUM(AD9:AD22)</f>
        <v>5409.399684</v>
      </c>
      <c r="AE29" s="78">
        <f>SUM(AE9:AE22)</f>
        <v>5104.3602872231104</v>
      </c>
      <c r="AF29" s="78">
        <f>SUM(AF9:AF22)</f>
        <v>6428.849000000002</v>
      </c>
      <c r="AG29" s="78">
        <f>SUM(AG9:AG22)</f>
        <v>9882.1152259999999</v>
      </c>
      <c r="AH29" s="78">
        <f>SUM(AH9:AH28)</f>
        <v>11939.925000000001</v>
      </c>
      <c r="AI29" s="78">
        <f>SUM(AI9:AI28)</f>
        <v>10789.041001143556</v>
      </c>
      <c r="AJ29" s="82"/>
      <c r="AK29" s="78">
        <f>SUM(AK9:AK19)</f>
        <v>13416.007</v>
      </c>
      <c r="AL29" s="78">
        <f>SUM(AL9:AL28)</f>
        <v>14736.865909369999</v>
      </c>
      <c r="AM29" s="78">
        <f>SUM(AM9:AM19)</f>
        <v>19881.105</v>
      </c>
      <c r="AN29" s="78">
        <f>SUM(AN9:AN19)</f>
        <v>29554.648811697782</v>
      </c>
      <c r="AO29" s="78">
        <f>SUM(AO9:AO19)</f>
        <v>45662.241506174119</v>
      </c>
      <c r="AP29" s="78">
        <f>SUM(AP9:AP28)</f>
        <v>34568.467871080895</v>
      </c>
      <c r="AQ29" s="78">
        <f>SUM(AQ9:AQ22)</f>
        <v>17146.096344098856</v>
      </c>
      <c r="AR29" s="78">
        <f>SUM(AR9:AR28)</f>
        <v>39039.930227143552</v>
      </c>
      <c r="AS29" s="82"/>
    </row>
    <row r="30" spans="1:45" s="9" customFormat="1" ht="16.5">
      <c r="A30"/>
      <c r="B30" s="9" t="s">
        <v>97</v>
      </c>
      <c r="C30" s="9" t="s">
        <v>237</v>
      </c>
      <c r="D30" s="35">
        <f t="shared" ref="D30:AB30" si="15">D29/D7</f>
        <v>5.6904694001162048E-2</v>
      </c>
      <c r="E30" s="35">
        <f t="shared" si="15"/>
        <v>9.0170656072243269E-2</v>
      </c>
      <c r="F30" s="35">
        <f t="shared" si="15"/>
        <v>0.10497854920509708</v>
      </c>
      <c r="G30" s="35">
        <f t="shared" si="15"/>
        <v>7.4842168424287286E-2</v>
      </c>
      <c r="H30" s="35">
        <f t="shared" si="15"/>
        <v>7.0092160372113299E-2</v>
      </c>
      <c r="I30" s="35">
        <f t="shared" si="15"/>
        <v>9.3802987035798424E-2</v>
      </c>
      <c r="J30" s="35">
        <f t="shared" si="15"/>
        <v>8.9707136906758703E-2</v>
      </c>
      <c r="K30" s="35">
        <f t="shared" si="15"/>
        <v>7.1681644000340244E-2</v>
      </c>
      <c r="L30" s="35">
        <f t="shared" si="15"/>
        <v>7.1925000332429337E-2</v>
      </c>
      <c r="M30" s="35">
        <f t="shared" si="15"/>
        <v>0.1002826245840648</v>
      </c>
      <c r="N30" s="35">
        <f t="shared" si="15"/>
        <v>0.11346788157366398</v>
      </c>
      <c r="O30" s="35">
        <f t="shared" si="15"/>
        <v>9.9251867111298742E-2</v>
      </c>
      <c r="P30" s="35">
        <f t="shared" si="15"/>
        <v>6.9274369712638034E-2</v>
      </c>
      <c r="Q30" s="35">
        <f t="shared" si="15"/>
        <v>0.1570152830658752</v>
      </c>
      <c r="R30" s="35">
        <f t="shared" si="15"/>
        <v>0.11409762729459517</v>
      </c>
      <c r="S30" s="35">
        <f t="shared" si="15"/>
        <v>9.248548899907684E-2</v>
      </c>
      <c r="T30" s="35">
        <f t="shared" si="15"/>
        <v>9.1384032938729445E-2</v>
      </c>
      <c r="U30" s="35">
        <f t="shared" si="15"/>
        <v>0.13671130605229126</v>
      </c>
      <c r="V30" s="35">
        <f t="shared" si="15"/>
        <v>0.15038115519742021</v>
      </c>
      <c r="W30" s="35">
        <f t="shared" si="15"/>
        <v>0.13530122970490874</v>
      </c>
      <c r="X30" s="35">
        <f t="shared" si="15"/>
        <v>0.11098460332793567</v>
      </c>
      <c r="Y30" s="35">
        <f t="shared" si="15"/>
        <v>0.1124113804852464</v>
      </c>
      <c r="Z30" s="35">
        <f t="shared" si="15"/>
        <v>9.6492411702465503E-2</v>
      </c>
      <c r="AA30" s="35">
        <f t="shared" si="15"/>
        <v>4.9259420763268509E-2</v>
      </c>
      <c r="AB30" s="35">
        <f t="shared" si="15"/>
        <v>2.4945343778135651E-2</v>
      </c>
      <c r="AC30" s="35">
        <v>5.0009502998406945E-2</v>
      </c>
      <c r="AD30" s="35">
        <v>5.9177699586992427E-2</v>
      </c>
      <c r="AE30" s="35">
        <f>AE29/AE7</f>
        <v>5.2982380224060724E-2</v>
      </c>
      <c r="AF30" s="35">
        <f>AF29/AF7</f>
        <v>7.2115032830946335E-2</v>
      </c>
      <c r="AG30" s="35">
        <f>AG29/AG7</f>
        <v>9.8225649437718887E-2</v>
      </c>
      <c r="AH30" s="35">
        <f>AH29/AH7</f>
        <v>0.10805571550586723</v>
      </c>
      <c r="AI30" s="35">
        <f>AI29/AI7</f>
        <v>9.2450490299732416E-2</v>
      </c>
      <c r="AK30" s="35">
        <f t="shared" ref="AK30:AP30" si="16">AK29/AK7</f>
        <v>8.2221048980817127E-2</v>
      </c>
      <c r="AL30" s="35">
        <f t="shared" si="16"/>
        <v>8.1114300514534748E-2</v>
      </c>
      <c r="AM30" s="35">
        <f t="shared" si="16"/>
        <v>9.7206911232604845E-2</v>
      </c>
      <c r="AN30" s="35">
        <f t="shared" si="16"/>
        <v>0.10937893467622893</v>
      </c>
      <c r="AO30" s="35">
        <f t="shared" si="16"/>
        <v>0.13020478895133242</v>
      </c>
      <c r="AP30" s="35">
        <f t="shared" si="16"/>
        <v>9.2219075151555696E-2</v>
      </c>
      <c r="AQ30" s="35">
        <f>AQ29/AQ7</f>
        <v>4.7128413912913628E-2</v>
      </c>
      <c r="AR30" s="35">
        <f>AR29/AR7</f>
        <v>9.3631713098582384E-2</v>
      </c>
    </row>
    <row r="31" spans="1:45">
      <c r="AG31" s="151"/>
      <c r="AH31" s="151"/>
      <c r="AI31" s="151"/>
    </row>
    <row r="33" spans="4:35"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</row>
    <row r="35" spans="4:35">
      <c r="X35" s="102"/>
    </row>
    <row r="36" spans="4:35">
      <c r="AE36" s="151"/>
    </row>
  </sheetData>
  <pageMargins left="0.511811024" right="0.511811024" top="0.78740157499999996" bottom="0.78740157499999996" header="0.31496062000000002" footer="0.31496062000000002"/>
  <pageSetup paperSize="9" scale="15" orientation="portrait" r:id="rId1"/>
  <ignoredErrors>
    <ignoredError sqref="AK28:AN28 AK8:AP8 AK30:AN30 AK29 AK7:AO7 AK11:AO11 AK15:AN16 AK19:AN19 AK17:AN18 AM29:AN29 AK12:AN12 AK9:AO9 AO17:AO18 AO19 AO15:AO16 AO30 AO12:AO14 AO32:AR34 AO20:AO29 AO31 AQ18:AR18 AP19:AR19 AP20:AR28 AQ15:AR16 AP17:AR17 AP30 AP31 AP12:AR14 AP15:AP16 AP18 AP11 AP9:AR10 AQ11:AR11 AP29" formulaRange="1"/>
    <ignoredError sqref="AQ31:AR31 AQ30:AR30 AQ29:AR29" formula="1" formulaRange="1"/>
    <ignoredError sqref="AS31 AS29 AS30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4">
    <tabColor rgb="FF0070C0"/>
    <pageSetUpPr fitToPage="1"/>
  </sheetPr>
  <dimension ref="A1:AS70"/>
  <sheetViews>
    <sheetView showGridLines="0"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" sqref="B1"/>
    </sheetView>
  </sheetViews>
  <sheetFormatPr defaultColWidth="8.85546875" defaultRowHeight="15" outlineLevelCol="1"/>
  <cols>
    <col min="1" max="1" width="23.140625" hidden="1" customWidth="1"/>
    <col min="2" max="2" width="50.5703125" style="31" customWidth="1" outlineLevel="1"/>
    <col min="3" max="3" width="50.5703125" customWidth="1"/>
    <col min="4" max="7" width="14.140625" hidden="1" customWidth="1" outlineLevel="1"/>
    <col min="8" max="8" width="14.140625" hidden="1" customWidth="1" outlineLevel="1" collapsed="1"/>
    <col min="9" max="20" width="14.140625" hidden="1" customWidth="1" outlineLevel="1"/>
    <col min="21" max="23" width="14.140625" hidden="1" customWidth="1" outlineLevel="1" collapsed="1"/>
    <col min="24" max="29" width="14.140625" hidden="1" customWidth="1" collapsed="1"/>
    <col min="30" max="30" width="14.140625" hidden="1" customWidth="1"/>
    <col min="31" max="31" width="14.140625" hidden="1" customWidth="1" collapsed="1"/>
    <col min="32" max="32" width="14.140625" customWidth="1" collapsed="1"/>
    <col min="33" max="35" width="14.140625" customWidth="1"/>
    <col min="36" max="36" width="3.5703125" customWidth="1"/>
    <col min="37" max="40" width="14.140625" hidden="1" customWidth="1" outlineLevel="1" collapsed="1"/>
    <col min="41" max="44" width="14.140625" customWidth="1" collapsed="1"/>
    <col min="45" max="82" width="14.140625" customWidth="1"/>
  </cols>
  <sheetData>
    <row r="1" spans="1:45" ht="1.5" customHeight="1">
      <c r="B1"/>
    </row>
    <row r="2" spans="1:45" ht="60" customHeight="1">
      <c r="B2"/>
    </row>
    <row r="3" spans="1:45" ht="3" customHeight="1">
      <c r="B3"/>
    </row>
    <row r="4" spans="1:45" s="4" customFormat="1" ht="16.5">
      <c r="A4"/>
      <c r="B4" s="22" t="s">
        <v>350</v>
      </c>
      <c r="C4" s="22" t="s">
        <v>289</v>
      </c>
      <c r="F4" s="3"/>
      <c r="G4" s="3"/>
      <c r="H4" s="3"/>
      <c r="I4" s="3"/>
    </row>
    <row r="5" spans="1:45" s="4" customFormat="1" ht="16.5">
      <c r="A5"/>
      <c r="B5" s="23" t="s">
        <v>77</v>
      </c>
      <c r="C5" s="23" t="s">
        <v>238</v>
      </c>
      <c r="D5" s="7" t="s">
        <v>20</v>
      </c>
      <c r="E5" s="8" t="s">
        <v>21</v>
      </c>
      <c r="F5" s="7" t="s">
        <v>22</v>
      </c>
      <c r="G5" s="7" t="s">
        <v>23</v>
      </c>
      <c r="H5" s="7" t="s">
        <v>24</v>
      </c>
      <c r="I5" s="8" t="s">
        <v>25</v>
      </c>
      <c r="J5" s="8" t="s">
        <v>26</v>
      </c>
      <c r="K5" s="8" t="s">
        <v>27</v>
      </c>
      <c r="L5" s="8" t="s">
        <v>28</v>
      </c>
      <c r="M5" s="8" t="s">
        <v>29</v>
      </c>
      <c r="N5" s="8" t="s">
        <v>30</v>
      </c>
      <c r="O5" s="8" t="s">
        <v>31</v>
      </c>
      <c r="P5" s="8" t="s">
        <v>32</v>
      </c>
      <c r="Q5" s="8" t="s">
        <v>33</v>
      </c>
      <c r="R5" s="8" t="s">
        <v>34</v>
      </c>
      <c r="S5" s="17" t="s">
        <v>35</v>
      </c>
      <c r="T5" s="17" t="s">
        <v>36</v>
      </c>
      <c r="U5" s="17" t="s">
        <v>183</v>
      </c>
      <c r="V5" s="17" t="s">
        <v>187</v>
      </c>
      <c r="W5" s="17" t="s">
        <v>188</v>
      </c>
      <c r="X5" s="17" t="s">
        <v>189</v>
      </c>
      <c r="Y5" s="17" t="s">
        <v>302</v>
      </c>
      <c r="Z5" s="17" t="s">
        <v>354</v>
      </c>
      <c r="AA5" s="17" t="s">
        <v>355</v>
      </c>
      <c r="AB5" s="17" t="s">
        <v>393</v>
      </c>
      <c r="AC5" s="17" t="s">
        <v>398</v>
      </c>
      <c r="AD5" s="17" t="s">
        <v>428</v>
      </c>
      <c r="AE5" s="17" t="s">
        <v>435</v>
      </c>
      <c r="AF5" s="17" t="s">
        <v>438</v>
      </c>
      <c r="AG5" s="17" t="s">
        <v>439</v>
      </c>
      <c r="AH5" s="17" t="s">
        <v>442</v>
      </c>
      <c r="AI5" s="17" t="s">
        <v>443</v>
      </c>
      <c r="AK5" s="7">
        <v>2017</v>
      </c>
      <c r="AL5" s="7">
        <v>2018</v>
      </c>
      <c r="AM5" s="7">
        <v>2019</v>
      </c>
      <c r="AN5" s="7">
        <v>2020</v>
      </c>
      <c r="AO5" s="7">
        <v>2021</v>
      </c>
      <c r="AP5" s="7">
        <v>2022</v>
      </c>
      <c r="AQ5" s="7">
        <v>2023</v>
      </c>
      <c r="AR5" s="7">
        <v>2024</v>
      </c>
    </row>
    <row r="6" spans="1:45" ht="16.5">
      <c r="B6" s="24"/>
      <c r="C6" s="24"/>
      <c r="E6" s="11"/>
      <c r="F6" s="11"/>
      <c r="G6" s="11"/>
      <c r="H6" s="11"/>
      <c r="I6" s="11"/>
      <c r="O6" s="25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K6" s="12"/>
      <c r="AL6" s="12"/>
      <c r="AM6" s="12"/>
      <c r="AN6" s="12"/>
      <c r="AO6" s="12"/>
      <c r="AP6" s="12"/>
      <c r="AQ6" s="12"/>
      <c r="AR6" s="12"/>
    </row>
    <row r="7" spans="1:45" ht="16.5">
      <c r="A7" t="s">
        <v>390</v>
      </c>
      <c r="B7" s="22" t="s">
        <v>78</v>
      </c>
      <c r="C7" s="22" t="s">
        <v>239</v>
      </c>
      <c r="D7" s="85">
        <v>37616.351999999999</v>
      </c>
      <c r="E7" s="85">
        <v>41674.754999999997</v>
      </c>
      <c r="F7" s="85">
        <v>41144.396000000001</v>
      </c>
      <c r="G7" s="85">
        <v>42734.478000000003</v>
      </c>
      <c r="H7" s="85">
        <v>39783.150999999998</v>
      </c>
      <c r="I7" s="85">
        <v>45175.555</v>
      </c>
      <c r="J7" s="85">
        <v>49402.813000000002</v>
      </c>
      <c r="K7" s="85">
        <v>47318.724999999999</v>
      </c>
      <c r="L7" s="85">
        <v>44370.33</v>
      </c>
      <c r="M7" s="85">
        <v>50842.357000000004</v>
      </c>
      <c r="N7" s="85">
        <v>52184.406000000003</v>
      </c>
      <c r="O7" s="85">
        <v>57126.482000000004</v>
      </c>
      <c r="P7" s="76">
        <v>56481.38</v>
      </c>
      <c r="Q7" s="76">
        <v>67582.33</v>
      </c>
      <c r="R7" s="76">
        <v>70081.097999999998</v>
      </c>
      <c r="S7" s="76">
        <v>76059.403617000004</v>
      </c>
      <c r="T7" s="76">
        <v>75251.217999999993</v>
      </c>
      <c r="U7" s="76">
        <v>85626.926999999996</v>
      </c>
      <c r="V7" s="76">
        <v>92625.317999999999</v>
      </c>
      <c r="W7" s="76">
        <v>97192.097999999998</v>
      </c>
      <c r="X7" s="76">
        <v>90866.573000000004</v>
      </c>
      <c r="Y7" s="76">
        <v>92191.384999999995</v>
      </c>
      <c r="Z7" s="76">
        <v>98928.157000000007</v>
      </c>
      <c r="AA7" s="76">
        <v>92865.485000000001</v>
      </c>
      <c r="AB7" s="76">
        <v>86683.729000000007</v>
      </c>
      <c r="AC7" s="76">
        <v>89382.630999999994</v>
      </c>
      <c r="AD7" s="76">
        <v>91409.464000000007</v>
      </c>
      <c r="AE7" s="76">
        <v>96340.713000000003</v>
      </c>
      <c r="AF7" s="76">
        <v>89147.141000000003</v>
      </c>
      <c r="AG7" s="76">
        <v>100606.26</v>
      </c>
      <c r="AH7" s="76">
        <v>110497.857</v>
      </c>
      <c r="AI7" s="76">
        <v>116700.74400000001</v>
      </c>
      <c r="AJ7" s="82"/>
      <c r="AK7" s="76">
        <f>SUM(D7:G7)</f>
        <v>163169.981</v>
      </c>
      <c r="AL7" s="76">
        <f>SUM(H7:K7)</f>
        <v>181680.24400000001</v>
      </c>
      <c r="AM7" s="76">
        <f>SUM(L7:O7)</f>
        <v>204523.57500000001</v>
      </c>
      <c r="AN7" s="76">
        <f>SUM(P7:S7)</f>
        <v>270204.21161699999</v>
      </c>
      <c r="AO7" s="76">
        <f>SUM(T7:W7)</f>
        <v>350695.56099999999</v>
      </c>
      <c r="AP7" s="76">
        <f>SUM(X7:AA7)</f>
        <v>374851.6</v>
      </c>
      <c r="AQ7" s="76">
        <f>SUM(AB7:AE7)</f>
        <v>363816.53700000001</v>
      </c>
      <c r="AR7" s="76">
        <f>SUM(AF7:AI7)</f>
        <v>416952.00200000004</v>
      </c>
      <c r="AS7" s="82"/>
    </row>
    <row r="8" spans="1:45" ht="16.5">
      <c r="A8" t="s">
        <v>383</v>
      </c>
      <c r="B8" s="34" t="s">
        <v>79</v>
      </c>
      <c r="C8" s="34" t="s">
        <v>318</v>
      </c>
      <c r="D8" s="76">
        <v>-33195.379999999997</v>
      </c>
      <c r="E8" s="76">
        <v>-35515.701999999997</v>
      </c>
      <c r="F8" s="76">
        <v>-34292.690999999999</v>
      </c>
      <c r="G8" s="76">
        <v>-36393.976000000002</v>
      </c>
      <c r="H8" s="76">
        <v>-34631.012000000002</v>
      </c>
      <c r="I8" s="76">
        <v>-38188.089999999997</v>
      </c>
      <c r="J8" s="76">
        <v>-41776.29</v>
      </c>
      <c r="K8" s="76">
        <v>-40744.661999999997</v>
      </c>
      <c r="L8" s="76">
        <v>-38533.82</v>
      </c>
      <c r="M8" s="76">
        <v>-42905.21</v>
      </c>
      <c r="N8" s="76">
        <v>-43232.642</v>
      </c>
      <c r="O8" s="76">
        <v>-47905.552000000003</v>
      </c>
      <c r="P8" s="76">
        <v>-49209.294999999998</v>
      </c>
      <c r="Q8" s="76">
        <v>-53052.106</v>
      </c>
      <c r="R8" s="76">
        <v>-58282.752</v>
      </c>
      <c r="S8" s="76">
        <v>-64441.735736000002</v>
      </c>
      <c r="T8" s="76">
        <v>-64139.438999999998</v>
      </c>
      <c r="U8" s="76">
        <v>-69145.960999999996</v>
      </c>
      <c r="V8" s="76">
        <v>-73354.487999999998</v>
      </c>
      <c r="W8" s="76">
        <v>-77870.687999999995</v>
      </c>
      <c r="X8" s="76">
        <v>-74500.932000000001</v>
      </c>
      <c r="Y8" s="76">
        <v>-76002.857000000004</v>
      </c>
      <c r="Z8" s="76">
        <v>-82692.148000000001</v>
      </c>
      <c r="AA8" s="76">
        <v>-82177.591</v>
      </c>
      <c r="AB8" s="76">
        <v>-79069.56</v>
      </c>
      <c r="AC8" s="76">
        <v>-79495.153000000006</v>
      </c>
      <c r="AD8" s="76">
        <v>-80356.865000000005</v>
      </c>
      <c r="AE8" s="76">
        <v>-85245.962</v>
      </c>
      <c r="AF8" s="76">
        <v>-77466.493000000002</v>
      </c>
      <c r="AG8" s="76">
        <v>-85094.070999999996</v>
      </c>
      <c r="AH8" s="76">
        <v>-92309.544999999998</v>
      </c>
      <c r="AI8" s="76">
        <v>-99308.926999999996</v>
      </c>
      <c r="AJ8" s="82"/>
      <c r="AK8" s="76">
        <f>SUM(D8:G8)</f>
        <v>-139397.74899999998</v>
      </c>
      <c r="AL8" s="76">
        <f>SUM(H8:K8)</f>
        <v>-155340.054</v>
      </c>
      <c r="AM8" s="76">
        <f>SUM(L8:O8)</f>
        <v>-172577.22399999999</v>
      </c>
      <c r="AN8" s="76">
        <f>SUM(P8:S8)</f>
        <v>-224985.88873599999</v>
      </c>
      <c r="AO8" s="76">
        <f>SUM(T8:W8)</f>
        <v>-284510.576</v>
      </c>
      <c r="AP8" s="76">
        <f>SUM(X8:AA8)</f>
        <v>-315373.52799999999</v>
      </c>
      <c r="AQ8" s="76">
        <f>SUM(AB8:AE8)</f>
        <v>-324167.53999999998</v>
      </c>
      <c r="AR8" s="76">
        <f>SUM(AF8:AI8)</f>
        <v>-354179.03599999996</v>
      </c>
      <c r="AS8" s="82"/>
    </row>
    <row r="9" spans="1:45" ht="16.5">
      <c r="B9" s="59" t="s">
        <v>80</v>
      </c>
      <c r="C9" s="59" t="s">
        <v>319</v>
      </c>
      <c r="D9" s="78">
        <f t="shared" ref="D9:X9" si="0">SUM(D7:D8)</f>
        <v>4420.9720000000016</v>
      </c>
      <c r="E9" s="78">
        <f t="shared" si="0"/>
        <v>6159.0529999999999</v>
      </c>
      <c r="F9" s="78">
        <f t="shared" si="0"/>
        <v>6851.7050000000017</v>
      </c>
      <c r="G9" s="78">
        <f t="shared" si="0"/>
        <v>6340.5020000000004</v>
      </c>
      <c r="H9" s="78">
        <f t="shared" si="0"/>
        <v>5152.1389999999956</v>
      </c>
      <c r="I9" s="78">
        <f t="shared" si="0"/>
        <v>6987.4650000000038</v>
      </c>
      <c r="J9" s="78">
        <f t="shared" si="0"/>
        <v>7626.523000000001</v>
      </c>
      <c r="K9" s="78">
        <f t="shared" si="0"/>
        <v>6574.0630000000019</v>
      </c>
      <c r="L9" s="78">
        <f t="shared" si="0"/>
        <v>5836.510000000002</v>
      </c>
      <c r="M9" s="78">
        <f t="shared" si="0"/>
        <v>7937.1470000000045</v>
      </c>
      <c r="N9" s="78">
        <f t="shared" si="0"/>
        <v>8951.7640000000029</v>
      </c>
      <c r="O9" s="78">
        <f t="shared" si="0"/>
        <v>9220.93</v>
      </c>
      <c r="P9" s="78">
        <f t="shared" si="0"/>
        <v>7272.0849999999991</v>
      </c>
      <c r="Q9" s="78">
        <f t="shared" si="0"/>
        <v>14530.224000000002</v>
      </c>
      <c r="R9" s="78">
        <f t="shared" si="0"/>
        <v>11798.345999999998</v>
      </c>
      <c r="S9" s="78">
        <f t="shared" si="0"/>
        <v>11617.667881000001</v>
      </c>
      <c r="T9" s="78">
        <f t="shared" si="0"/>
        <v>11111.778999999995</v>
      </c>
      <c r="U9" s="78">
        <f t="shared" si="0"/>
        <v>16480.966</v>
      </c>
      <c r="V9" s="78">
        <f t="shared" si="0"/>
        <v>19270.830000000002</v>
      </c>
      <c r="W9" s="78">
        <f t="shared" si="0"/>
        <v>19321.410000000003</v>
      </c>
      <c r="X9" s="78">
        <f t="shared" si="0"/>
        <v>16365.641000000003</v>
      </c>
      <c r="Y9" s="78">
        <f t="shared" ref="Y9:AE9" si="1">SUM(Y7:Y8)</f>
        <v>16188.527999999991</v>
      </c>
      <c r="Z9" s="78">
        <f t="shared" si="1"/>
        <v>16236.009000000005</v>
      </c>
      <c r="AA9" s="78">
        <f t="shared" si="1"/>
        <v>10687.894</v>
      </c>
      <c r="AB9" s="78">
        <f t="shared" si="1"/>
        <v>7614.169000000009</v>
      </c>
      <c r="AC9" s="78">
        <f t="shared" si="1"/>
        <v>9887.4779999999882</v>
      </c>
      <c r="AD9" s="78">
        <v>11052.599000000002</v>
      </c>
      <c r="AE9" s="78">
        <f t="shared" si="1"/>
        <v>11094.751000000004</v>
      </c>
      <c r="AF9" s="78">
        <f t="shared" ref="AF9" si="2">SUM(AF7:AF8)</f>
        <v>11680.648000000001</v>
      </c>
      <c r="AG9" s="78">
        <f t="shared" ref="AG9:AI9" si="3">SUM(AG7:AG8)</f>
        <v>15512.188999999998</v>
      </c>
      <c r="AH9" s="78">
        <f t="shared" ref="AH9" si="4">SUM(AH7:AH8)</f>
        <v>18188.312000000005</v>
      </c>
      <c r="AI9" s="78">
        <f t="shared" si="3"/>
        <v>17391.81700000001</v>
      </c>
      <c r="AJ9" s="82"/>
      <c r="AK9" s="78">
        <f>SUM(AK7:AK8)</f>
        <v>23772.232000000018</v>
      </c>
      <c r="AL9" s="78">
        <f t="shared" ref="AL9:AO9" si="5">SUM(AL7:AL8)</f>
        <v>26340.190000000002</v>
      </c>
      <c r="AM9" s="78">
        <f t="shared" si="5"/>
        <v>31946.351000000024</v>
      </c>
      <c r="AN9" s="78">
        <f t="shared" si="5"/>
        <v>45218.322881</v>
      </c>
      <c r="AO9" s="78">
        <f t="shared" si="5"/>
        <v>66184.984999999986</v>
      </c>
      <c r="AP9" s="78">
        <f>SUM(AP7:AP8)</f>
        <v>59478.071999999986</v>
      </c>
      <c r="AQ9" s="78">
        <f>SUM(AQ7:AQ8)</f>
        <v>39648.997000000032</v>
      </c>
      <c r="AR9" s="78">
        <f>SUM(AR7:AR8)</f>
        <v>62772.966000000073</v>
      </c>
      <c r="AS9" s="82"/>
    </row>
    <row r="10" spans="1:45" ht="16.5">
      <c r="B10" s="26"/>
      <c r="C10" s="26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2"/>
      <c r="AK10" s="85"/>
      <c r="AL10" s="85"/>
      <c r="AM10" s="85"/>
      <c r="AN10" s="85"/>
      <c r="AO10" s="85"/>
      <c r="AP10" s="85"/>
      <c r="AQ10" s="85"/>
      <c r="AR10" s="85"/>
      <c r="AS10" s="82"/>
    </row>
    <row r="11" spans="1:45" ht="16.5">
      <c r="A11" t="s">
        <v>320</v>
      </c>
      <c r="B11" s="34" t="s">
        <v>81</v>
      </c>
      <c r="C11" s="34" t="s">
        <v>320</v>
      </c>
      <c r="D11" s="76">
        <v>-1323.7629999999999</v>
      </c>
      <c r="E11" s="76">
        <v>-1325.202</v>
      </c>
      <c r="F11" s="76">
        <v>-3320.9520000000002</v>
      </c>
      <c r="G11" s="76">
        <v>-2246.33</v>
      </c>
      <c r="H11" s="76">
        <v>-1213.0609999999999</v>
      </c>
      <c r="I11" s="76">
        <v>-1516.106</v>
      </c>
      <c r="J11" s="76">
        <v>-4072.355</v>
      </c>
      <c r="K11" s="76">
        <v>-1786.0360000000001</v>
      </c>
      <c r="L11" s="76">
        <v>-1560.4059999999999</v>
      </c>
      <c r="M11" s="76">
        <v>-1638.0029999999999</v>
      </c>
      <c r="N11" s="76">
        <v>-1765.4570000000001</v>
      </c>
      <c r="O11" s="76">
        <v>-2349.192</v>
      </c>
      <c r="P11" s="76">
        <v>-1863.164</v>
      </c>
      <c r="Q11" s="76">
        <v>-2523.2429999999999</v>
      </c>
      <c r="R11" s="76">
        <v>-3073.1019999999999</v>
      </c>
      <c r="S11" s="76">
        <v>-3332.7795389999997</v>
      </c>
      <c r="T11" s="76">
        <v>-2499.5790000000002</v>
      </c>
      <c r="U11" s="76">
        <v>-4747.2690000000002</v>
      </c>
      <c r="V11" s="76">
        <v>-3491.7570000000001</v>
      </c>
      <c r="W11" s="76">
        <v>-4467.2939999999999</v>
      </c>
      <c r="X11" s="76">
        <v>-3176.14</v>
      </c>
      <c r="Y11" s="76">
        <v>-2773.5630000000001</v>
      </c>
      <c r="Z11" s="76">
        <v>-3076.259</v>
      </c>
      <c r="AA11" s="76">
        <v>-2803.585</v>
      </c>
      <c r="AB11" s="76">
        <v>-2670.8220000000001</v>
      </c>
      <c r="AC11" s="76">
        <v>-2529.346</v>
      </c>
      <c r="AD11" s="76">
        <v>-2906.942</v>
      </c>
      <c r="AE11" s="76">
        <v>-3439.9650000000001</v>
      </c>
      <c r="AF11" s="76">
        <v>-2619.931</v>
      </c>
      <c r="AG11" s="76">
        <v>-3631.1570000000002</v>
      </c>
      <c r="AH11" s="76">
        <f>+AR11-SUM(AF11,AG11,AI11)</f>
        <v>-1876.9189999999999</v>
      </c>
      <c r="AI11" s="76">
        <v>-4177.2579999999998</v>
      </c>
      <c r="AJ11" s="82"/>
      <c r="AK11" s="76">
        <f>SUM(D11:G11)</f>
        <v>-8216.2469999999994</v>
      </c>
      <c r="AL11" s="76">
        <f>SUM(H11:K11)</f>
        <v>-8587.5580000000009</v>
      </c>
      <c r="AM11" s="76">
        <f>SUM(L11:O11)</f>
        <v>-7313.058</v>
      </c>
      <c r="AN11" s="76">
        <f>SUM(P11:S11)</f>
        <v>-10792.288538999999</v>
      </c>
      <c r="AO11" s="76">
        <f>SUM(T11:W11)</f>
        <v>-15205.898999999999</v>
      </c>
      <c r="AP11" s="76">
        <f>SUM(X11:AA11)</f>
        <v>-11829.546999999999</v>
      </c>
      <c r="AQ11" s="76">
        <f>SUM(AB11:AE11)</f>
        <v>-11547.075000000001</v>
      </c>
      <c r="AR11" s="76">
        <v>-12305.264999999999</v>
      </c>
      <c r="AS11" s="82"/>
    </row>
    <row r="12" spans="1:45" ht="16.5">
      <c r="A12" t="s">
        <v>384</v>
      </c>
      <c r="B12" s="34" t="s">
        <v>82</v>
      </c>
      <c r="C12" s="34" t="s">
        <v>321</v>
      </c>
      <c r="D12" s="76">
        <v>-2069.4659999999999</v>
      </c>
      <c r="E12" s="76">
        <v>-2209.6930000000002</v>
      </c>
      <c r="F12" s="76">
        <v>-2125.7890000000002</v>
      </c>
      <c r="G12" s="76">
        <v>-2457.0479999999998</v>
      </c>
      <c r="H12" s="76">
        <v>-2324.6869999999999</v>
      </c>
      <c r="I12" s="76">
        <v>-2522.018</v>
      </c>
      <c r="J12" s="76">
        <v>-2799.4520000000002</v>
      </c>
      <c r="K12" s="76">
        <v>-2775.8380000000002</v>
      </c>
      <c r="L12" s="76">
        <v>-2592.1869999999999</v>
      </c>
      <c r="M12" s="76">
        <v>-2810.4920000000002</v>
      </c>
      <c r="N12" s="76">
        <v>-2966.8040000000001</v>
      </c>
      <c r="O12" s="76">
        <v>-3099.4520000000002</v>
      </c>
      <c r="P12" s="76">
        <v>-3185.2269999999999</v>
      </c>
      <c r="Q12" s="76">
        <v>-3547.752</v>
      </c>
      <c r="R12" s="76">
        <v>-3709.5279999999998</v>
      </c>
      <c r="S12" s="76">
        <v>-4038.955164</v>
      </c>
      <c r="T12" s="76">
        <v>-4080.5929999999998</v>
      </c>
      <c r="U12" s="76">
        <v>-4478.74</v>
      </c>
      <c r="V12" s="76">
        <v>-4972.6480000000001</v>
      </c>
      <c r="W12" s="76">
        <v>-5635.33</v>
      </c>
      <c r="X12" s="76">
        <v>-5754.1689999999999</v>
      </c>
      <c r="Y12" s="76">
        <v>-5709.4059999999999</v>
      </c>
      <c r="Z12" s="76">
        <v>-6408.9380000000001</v>
      </c>
      <c r="AA12" s="76">
        <v>-6311.9470000000001</v>
      </c>
      <c r="AB12" s="76">
        <v>-5775.3069999999998</v>
      </c>
      <c r="AC12" s="76">
        <v>-5678.7160000000003</v>
      </c>
      <c r="AD12" s="76">
        <v>-5509.93</v>
      </c>
      <c r="AE12" s="76">
        <v>-5977.2150000000001</v>
      </c>
      <c r="AF12" s="76">
        <v>-5473.6329999999998</v>
      </c>
      <c r="AG12" s="76">
        <v>-5822.982</v>
      </c>
      <c r="AH12" s="76">
        <f>+AR12-SUM(AF12,AG12,AI12)</f>
        <v>-7578.7870000000003</v>
      </c>
      <c r="AI12" s="76">
        <v>-7241.1139999999996</v>
      </c>
      <c r="AJ12" s="82"/>
      <c r="AK12" s="76">
        <f>SUM(D12:G12)</f>
        <v>-8861.9959999999992</v>
      </c>
      <c r="AL12" s="76">
        <f>SUM(H12:K12)</f>
        <v>-10421.995000000001</v>
      </c>
      <c r="AM12" s="76">
        <f>SUM(L12:O12)</f>
        <v>-11468.935000000001</v>
      </c>
      <c r="AN12" s="76">
        <f>SUM(P12:S12)</f>
        <v>-14481.462164</v>
      </c>
      <c r="AO12" s="76">
        <f>SUM(T12:W12)</f>
        <v>-19167.311000000002</v>
      </c>
      <c r="AP12" s="76">
        <f>SUM(X12:AA12)</f>
        <v>-24184.46</v>
      </c>
      <c r="AQ12" s="76">
        <f t="shared" ref="AQ12:AQ14" si="6">SUM(AB12:AE12)</f>
        <v>-22941.168000000001</v>
      </c>
      <c r="AR12" s="76">
        <v>-26116.516</v>
      </c>
      <c r="AS12" s="82"/>
    </row>
    <row r="13" spans="1:45" ht="16.5">
      <c r="A13" t="s">
        <v>242</v>
      </c>
      <c r="B13" s="34" t="s">
        <v>83</v>
      </c>
      <c r="C13" s="34" t="s">
        <v>242</v>
      </c>
      <c r="D13" s="76">
        <v>-7.774</v>
      </c>
      <c r="E13" s="76">
        <v>-92.963999999999999</v>
      </c>
      <c r="F13" s="76">
        <v>-271.077</v>
      </c>
      <c r="G13" s="76">
        <v>-153.41900000000001</v>
      </c>
      <c r="H13" s="76">
        <v>-78.819999999999993</v>
      </c>
      <c r="I13" s="76">
        <v>-63.432000000000002</v>
      </c>
      <c r="J13" s="76">
        <v>-63.823</v>
      </c>
      <c r="K13" s="76">
        <v>-182.02099999999999</v>
      </c>
      <c r="L13" s="76">
        <v>-20.018000000000001</v>
      </c>
      <c r="M13" s="76">
        <v>-51.713999999999999</v>
      </c>
      <c r="N13" s="76">
        <v>-56.415999999999997</v>
      </c>
      <c r="O13" s="76">
        <v>-37.497</v>
      </c>
      <c r="P13" s="76">
        <v>-51.286999999999999</v>
      </c>
      <c r="Q13" s="76">
        <v>-49.787999999999997</v>
      </c>
      <c r="R13" s="76">
        <v>-103.965</v>
      </c>
      <c r="S13" s="76">
        <v>-128.540368</v>
      </c>
      <c r="T13" s="76">
        <v>-40.533000000000001</v>
      </c>
      <c r="U13" s="76">
        <v>-29.738</v>
      </c>
      <c r="V13" s="76">
        <v>-36.112000000000002</v>
      </c>
      <c r="W13" s="76">
        <v>-70.777000000000001</v>
      </c>
      <c r="X13" s="76">
        <v>-119.72199999999999</v>
      </c>
      <c r="Y13" s="76">
        <v>-74.427000000000007</v>
      </c>
      <c r="Z13" s="76">
        <v>-86.53</v>
      </c>
      <c r="AA13" s="76">
        <v>-237.203</v>
      </c>
      <c r="AB13" s="76">
        <v>-202.93799999999999</v>
      </c>
      <c r="AC13" s="76">
        <v>-229.732</v>
      </c>
      <c r="AD13" s="76">
        <v>-112.504</v>
      </c>
      <c r="AE13" s="76">
        <v>-67.917000000000002</v>
      </c>
      <c r="AF13" s="76">
        <v>-111.485</v>
      </c>
      <c r="AG13" s="76">
        <v>-230.952</v>
      </c>
      <c r="AH13" s="76">
        <v>-234.58199999999999</v>
      </c>
      <c r="AI13" s="76">
        <v>-468.43700000000001</v>
      </c>
      <c r="AJ13" s="82"/>
      <c r="AK13" s="76">
        <f>SUM(D13:G13)</f>
        <v>-525.23400000000004</v>
      </c>
      <c r="AL13" s="76">
        <f>SUM(H13:K13)</f>
        <v>-388.096</v>
      </c>
      <c r="AM13" s="76">
        <f>SUM(L13:O13)</f>
        <v>-165.64499999999998</v>
      </c>
      <c r="AN13" s="76">
        <f>SUM(P13:S13)</f>
        <v>-333.58036800000002</v>
      </c>
      <c r="AO13" s="76">
        <f>SUM(T13:W13)</f>
        <v>-177.16000000000003</v>
      </c>
      <c r="AP13" s="76">
        <f>SUM(X13:AA13)</f>
        <v>-517.88199999999995</v>
      </c>
      <c r="AQ13" s="76">
        <f t="shared" si="6"/>
        <v>-613.09100000000001</v>
      </c>
      <c r="AR13" s="76">
        <f>SUM(AF13:AI13)</f>
        <v>-1045.4560000000001</v>
      </c>
      <c r="AS13" s="82"/>
    </row>
    <row r="14" spans="1:45" ht="16.5">
      <c r="A14" t="s">
        <v>243</v>
      </c>
      <c r="B14" s="34" t="s">
        <v>84</v>
      </c>
      <c r="C14" s="34" t="s">
        <v>243</v>
      </c>
      <c r="D14" s="76">
        <v>29.722000000000001</v>
      </c>
      <c r="E14" s="76">
        <v>92.989000000000004</v>
      </c>
      <c r="F14" s="76">
        <v>109.863</v>
      </c>
      <c r="G14" s="76">
        <v>327.12799999999999</v>
      </c>
      <c r="H14" s="76">
        <v>33.298999999999999</v>
      </c>
      <c r="I14" s="76">
        <v>37.533999999999999</v>
      </c>
      <c r="J14" s="76">
        <v>80.445999999999998</v>
      </c>
      <c r="K14" s="76">
        <v>63.584000000000003</v>
      </c>
      <c r="L14" s="76">
        <v>39.674999999999997</v>
      </c>
      <c r="M14" s="76">
        <v>49.02</v>
      </c>
      <c r="N14" s="76">
        <v>66.731999999999999</v>
      </c>
      <c r="O14" s="76">
        <v>294.57499999999999</v>
      </c>
      <c r="P14" s="76">
        <v>115.67700000000001</v>
      </c>
      <c r="Q14" s="76">
        <v>30.36</v>
      </c>
      <c r="R14" s="76">
        <v>112.96899999999999</v>
      </c>
      <c r="S14" s="76">
        <v>579.62070100000005</v>
      </c>
      <c r="T14" s="76">
        <v>137.18799999999999</v>
      </c>
      <c r="U14" s="76">
        <v>156.15100000000001</v>
      </c>
      <c r="V14" s="76">
        <v>121.684</v>
      </c>
      <c r="W14" s="76">
        <v>127.956</v>
      </c>
      <c r="X14" s="76">
        <v>92.415000000000006</v>
      </c>
      <c r="Y14" s="76">
        <v>66.744</v>
      </c>
      <c r="Z14" s="76">
        <v>328.44400000000002</v>
      </c>
      <c r="AA14" s="76">
        <v>1141.904</v>
      </c>
      <c r="AB14" s="76">
        <v>425.69600000000003</v>
      </c>
      <c r="AC14" s="76">
        <v>75.099000000000004</v>
      </c>
      <c r="AD14" s="76">
        <v>87.289000000000001</v>
      </c>
      <c r="AE14" s="76">
        <v>166.547</v>
      </c>
      <c r="AF14" s="76">
        <v>105.038</v>
      </c>
      <c r="AG14" s="76">
        <v>89.974000000000004</v>
      </c>
      <c r="AH14" s="76">
        <v>121.27200000000001</v>
      </c>
      <c r="AI14" s="76">
        <v>141.404</v>
      </c>
      <c r="AJ14" s="82"/>
      <c r="AK14" s="76">
        <f>SUM(D14:G14)</f>
        <v>559.702</v>
      </c>
      <c r="AL14" s="76">
        <f>SUM(H14:K14)</f>
        <v>214.863</v>
      </c>
      <c r="AM14" s="76">
        <f>SUM(L14:O14)</f>
        <v>450.00199999999995</v>
      </c>
      <c r="AN14" s="76">
        <f>SUM(P14:S14)</f>
        <v>838.62670100000003</v>
      </c>
      <c r="AO14" s="76">
        <f>SUM(T14:W14)</f>
        <v>542.97900000000004</v>
      </c>
      <c r="AP14" s="76">
        <f>SUM(X14:AA14)</f>
        <v>1629.5070000000001</v>
      </c>
      <c r="AQ14" s="76">
        <f t="shared" si="6"/>
        <v>754.63100000000009</v>
      </c>
      <c r="AR14" s="76">
        <f>SUM(AF14:AI14)</f>
        <v>457.68799999999999</v>
      </c>
      <c r="AS14" s="82"/>
    </row>
    <row r="15" spans="1:45" ht="16.5">
      <c r="B15" s="59" t="s">
        <v>85</v>
      </c>
      <c r="C15" s="59" t="s">
        <v>322</v>
      </c>
      <c r="D15" s="78">
        <f t="shared" ref="D15:X15" si="7">SUM(D11:D14)</f>
        <v>-3371.2809999999995</v>
      </c>
      <c r="E15" s="78">
        <f t="shared" si="7"/>
        <v>-3534.8700000000003</v>
      </c>
      <c r="F15" s="78">
        <f t="shared" si="7"/>
        <v>-5607.9549999999999</v>
      </c>
      <c r="G15" s="78">
        <f t="shared" si="7"/>
        <v>-4529.6689999999999</v>
      </c>
      <c r="H15" s="78">
        <f t="shared" si="7"/>
        <v>-3583.2689999999998</v>
      </c>
      <c r="I15" s="78">
        <f t="shared" si="7"/>
        <v>-4064.0219999999995</v>
      </c>
      <c r="J15" s="78">
        <f t="shared" si="7"/>
        <v>-6855.1840000000011</v>
      </c>
      <c r="K15" s="78">
        <f t="shared" si="7"/>
        <v>-4680.3109999999997</v>
      </c>
      <c r="L15" s="78">
        <f t="shared" si="7"/>
        <v>-4132.9359999999997</v>
      </c>
      <c r="M15" s="78">
        <f t="shared" si="7"/>
        <v>-4451.1889999999994</v>
      </c>
      <c r="N15" s="78">
        <f t="shared" si="7"/>
        <v>-4721.9450000000006</v>
      </c>
      <c r="O15" s="78">
        <f t="shared" si="7"/>
        <v>-5191.5660000000007</v>
      </c>
      <c r="P15" s="78">
        <f t="shared" si="7"/>
        <v>-4984.0010000000002</v>
      </c>
      <c r="Q15" s="78">
        <f t="shared" si="7"/>
        <v>-6090.4229999999998</v>
      </c>
      <c r="R15" s="78">
        <f t="shared" si="7"/>
        <v>-6773.6259999999993</v>
      </c>
      <c r="S15" s="78">
        <f t="shared" si="7"/>
        <v>-6920.6543700000002</v>
      </c>
      <c r="T15" s="78">
        <f t="shared" si="7"/>
        <v>-6483.5170000000007</v>
      </c>
      <c r="U15" s="78">
        <f t="shared" si="7"/>
        <v>-9099.5959999999995</v>
      </c>
      <c r="V15" s="78">
        <f t="shared" si="7"/>
        <v>-8378.8330000000005</v>
      </c>
      <c r="W15" s="78">
        <f t="shared" si="7"/>
        <v>-10045.445</v>
      </c>
      <c r="X15" s="78">
        <f t="shared" si="7"/>
        <v>-8957.6159999999982</v>
      </c>
      <c r="Y15" s="78">
        <f t="shared" ref="Y15:AE15" si="8">SUM(Y11:Y14)</f>
        <v>-8490.652</v>
      </c>
      <c r="Z15" s="78">
        <f t="shared" si="8"/>
        <v>-9243.2830000000013</v>
      </c>
      <c r="AA15" s="78">
        <f t="shared" si="8"/>
        <v>-8210.8309999999983</v>
      </c>
      <c r="AB15" s="78">
        <f t="shared" si="8"/>
        <v>-8223.371000000001</v>
      </c>
      <c r="AC15" s="78">
        <f t="shared" si="8"/>
        <v>-8362.6949999999997</v>
      </c>
      <c r="AD15" s="78">
        <v>-8442.0869999999995</v>
      </c>
      <c r="AE15" s="78">
        <f t="shared" si="8"/>
        <v>-9318.5499999999993</v>
      </c>
      <c r="AF15" s="78">
        <f t="shared" ref="AF15" si="9">SUM(AF11:AF14)</f>
        <v>-8100.0110000000013</v>
      </c>
      <c r="AG15" s="78">
        <f t="shared" ref="AG15:AI15" si="10">SUM(AG11:AG14)</f>
        <v>-9595.1169999999984</v>
      </c>
      <c r="AH15" s="78">
        <f t="shared" ref="AH15" si="11">SUM(AH11:AH14)</f>
        <v>-9569.0159999999996</v>
      </c>
      <c r="AI15" s="78">
        <f t="shared" si="10"/>
        <v>-11745.404999999999</v>
      </c>
      <c r="AJ15" s="82"/>
      <c r="AK15" s="78">
        <f>SUM(AK11:AK14)</f>
        <v>-17043.774999999998</v>
      </c>
      <c r="AL15" s="78">
        <f t="shared" ref="AL15:AO15" si="12">SUM(AL11:AL14)</f>
        <v>-19182.786</v>
      </c>
      <c r="AM15" s="78">
        <f t="shared" si="12"/>
        <v>-18497.636000000002</v>
      </c>
      <c r="AN15" s="78">
        <f t="shared" si="12"/>
        <v>-24768.704369999996</v>
      </c>
      <c r="AO15" s="78">
        <f t="shared" si="12"/>
        <v>-34007.391000000003</v>
      </c>
      <c r="AP15" s="78">
        <f>SUM(AP11:AP14)</f>
        <v>-34902.381999999998</v>
      </c>
      <c r="AQ15" s="78">
        <f>SUM(AQ11:AQ14)</f>
        <v>-34346.703000000001</v>
      </c>
      <c r="AR15" s="78">
        <f>SUM(AR11:AR14)</f>
        <v>-39009.548999999999</v>
      </c>
      <c r="AS15" s="82"/>
    </row>
    <row r="16" spans="1:45" ht="16.5">
      <c r="B16" s="27"/>
      <c r="C16" s="27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2"/>
      <c r="AK16" s="86"/>
      <c r="AL16" s="86"/>
      <c r="AM16" s="86"/>
      <c r="AN16" s="86"/>
      <c r="AO16" s="86"/>
      <c r="AP16" s="86"/>
      <c r="AQ16" s="86"/>
      <c r="AR16" s="86"/>
      <c r="AS16" s="82"/>
    </row>
    <row r="17" spans="1:45" ht="16.5">
      <c r="B17" s="59" t="s">
        <v>86</v>
      </c>
      <c r="C17" s="59" t="s">
        <v>323</v>
      </c>
      <c r="D17" s="87">
        <f t="shared" ref="D17:X17" si="13">D9+D15</f>
        <v>1049.6910000000021</v>
      </c>
      <c r="E17" s="87">
        <f t="shared" si="13"/>
        <v>2624.1829999999995</v>
      </c>
      <c r="F17" s="87">
        <f t="shared" si="13"/>
        <v>1243.7500000000018</v>
      </c>
      <c r="G17" s="87">
        <f t="shared" si="13"/>
        <v>1810.8330000000005</v>
      </c>
      <c r="H17" s="87">
        <f t="shared" si="13"/>
        <v>1568.8699999999958</v>
      </c>
      <c r="I17" s="87">
        <f t="shared" si="13"/>
        <v>2923.4430000000043</v>
      </c>
      <c r="J17" s="87">
        <f t="shared" si="13"/>
        <v>771.33899999999994</v>
      </c>
      <c r="K17" s="87">
        <f t="shared" si="13"/>
        <v>1893.7520000000022</v>
      </c>
      <c r="L17" s="87">
        <f t="shared" si="13"/>
        <v>1703.5740000000023</v>
      </c>
      <c r="M17" s="87">
        <f t="shared" si="13"/>
        <v>3485.9580000000051</v>
      </c>
      <c r="N17" s="87">
        <f t="shared" si="13"/>
        <v>4229.8190000000022</v>
      </c>
      <c r="O17" s="87">
        <f t="shared" si="13"/>
        <v>4029.3639999999996</v>
      </c>
      <c r="P17" s="87">
        <f t="shared" si="13"/>
        <v>2288.0839999999989</v>
      </c>
      <c r="Q17" s="87">
        <f t="shared" si="13"/>
        <v>8439.8010000000031</v>
      </c>
      <c r="R17" s="87">
        <f t="shared" si="13"/>
        <v>5024.7199999999984</v>
      </c>
      <c r="S17" s="87">
        <f t="shared" si="13"/>
        <v>4697.013511000001</v>
      </c>
      <c r="T17" s="87">
        <f t="shared" si="13"/>
        <v>4628.2619999999943</v>
      </c>
      <c r="U17" s="87">
        <f t="shared" si="13"/>
        <v>7381.3700000000008</v>
      </c>
      <c r="V17" s="87">
        <f t="shared" si="13"/>
        <v>10891.997000000001</v>
      </c>
      <c r="W17" s="87">
        <f t="shared" si="13"/>
        <v>9275.9650000000038</v>
      </c>
      <c r="X17" s="87">
        <f t="shared" si="13"/>
        <v>7408.0250000000051</v>
      </c>
      <c r="Y17" s="87">
        <f t="shared" ref="Y17:AC17" si="14">Y9+Y15</f>
        <v>7697.8759999999911</v>
      </c>
      <c r="Z17" s="87">
        <f t="shared" si="14"/>
        <v>6992.7260000000042</v>
      </c>
      <c r="AA17" s="87">
        <f t="shared" si="14"/>
        <v>2477.0630000000019</v>
      </c>
      <c r="AB17" s="87">
        <f t="shared" si="14"/>
        <v>-609.20199999999204</v>
      </c>
      <c r="AC17" s="87">
        <f t="shared" si="14"/>
        <v>1524.7829999999885</v>
      </c>
      <c r="AD17" s="87">
        <v>2610.5120000000024</v>
      </c>
      <c r="AE17" s="87">
        <f>AE9+AE15</f>
        <v>1776.2010000000046</v>
      </c>
      <c r="AF17" s="87">
        <f>AF9+AF15</f>
        <v>3580.6369999999997</v>
      </c>
      <c r="AG17" s="87">
        <f>AG9+AG15</f>
        <v>5917.0720000000001</v>
      </c>
      <c r="AH17" s="87">
        <f>AH9+AH15</f>
        <v>8619.2960000000057</v>
      </c>
      <c r="AI17" s="87">
        <f>AI9+AI15</f>
        <v>5646.4120000000112</v>
      </c>
      <c r="AJ17" s="82"/>
      <c r="AK17" s="87">
        <f>AK9+AK15</f>
        <v>6728.4570000000203</v>
      </c>
      <c r="AL17" s="87">
        <f t="shared" ref="AL17:AO17" si="15">AL9+AL15</f>
        <v>7157.4040000000023</v>
      </c>
      <c r="AM17" s="87">
        <f t="shared" si="15"/>
        <v>13448.715000000022</v>
      </c>
      <c r="AN17" s="87">
        <f t="shared" si="15"/>
        <v>20449.618511000004</v>
      </c>
      <c r="AO17" s="87">
        <f t="shared" si="15"/>
        <v>32177.593999999983</v>
      </c>
      <c r="AP17" s="87">
        <f>AP9+AP15</f>
        <v>24575.689999999988</v>
      </c>
      <c r="AQ17" s="87">
        <f>AQ9+AQ15</f>
        <v>5302.2940000000308</v>
      </c>
      <c r="AR17" s="87">
        <f>AR9+AR15</f>
        <v>23763.417000000074</v>
      </c>
      <c r="AS17" s="82"/>
    </row>
    <row r="18" spans="1:45" ht="16.5">
      <c r="B18" s="24"/>
      <c r="C18" s="24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2"/>
      <c r="AK18" s="85"/>
      <c r="AL18" s="85"/>
      <c r="AM18" s="85"/>
      <c r="AN18" s="85"/>
      <c r="AO18" s="85"/>
      <c r="AP18" s="85"/>
      <c r="AQ18" s="85"/>
      <c r="AR18" s="85"/>
      <c r="AS18" s="82"/>
    </row>
    <row r="19" spans="1:45" ht="16.5">
      <c r="A19" t="s">
        <v>385</v>
      </c>
      <c r="B19" s="34" t="s">
        <v>87</v>
      </c>
      <c r="C19" s="34" t="s">
        <v>324</v>
      </c>
      <c r="D19" s="76">
        <v>525.505</v>
      </c>
      <c r="E19" s="76">
        <v>287.74799999999999</v>
      </c>
      <c r="F19" s="76">
        <v>1125.636</v>
      </c>
      <c r="G19" s="76">
        <v>47.968000000000004</v>
      </c>
      <c r="H19" s="76">
        <v>56.427</v>
      </c>
      <c r="I19" s="76">
        <v>215.33099999999999</v>
      </c>
      <c r="J19" s="76">
        <v>315.125</v>
      </c>
      <c r="K19" s="76">
        <v>817.56299999999999</v>
      </c>
      <c r="L19" s="76">
        <v>92.72</v>
      </c>
      <c r="M19" s="76">
        <v>558.40800000000002</v>
      </c>
      <c r="N19" s="76">
        <v>356.45400000000001</v>
      </c>
      <c r="O19" s="76">
        <v>1074.2449999999999</v>
      </c>
      <c r="P19" s="76">
        <v>376.99900000000002</v>
      </c>
      <c r="Q19" s="76">
        <v>100.639</v>
      </c>
      <c r="R19" s="76">
        <v>341.46499999999997</v>
      </c>
      <c r="S19" s="76">
        <v>2738.3395909999999</v>
      </c>
      <c r="T19" s="76">
        <v>333.37200000000001</v>
      </c>
      <c r="U19" s="76">
        <v>828.90899999999999</v>
      </c>
      <c r="V19" s="76">
        <v>720.70600000000002</v>
      </c>
      <c r="W19" s="76">
        <v>421.10399999999998</v>
      </c>
      <c r="X19" s="76">
        <v>2914.4450000000002</v>
      </c>
      <c r="Y19" s="76">
        <v>313.137</v>
      </c>
      <c r="Z19" s="76">
        <v>642.76499999999999</v>
      </c>
      <c r="AA19" s="76">
        <v>344.76799999999997</v>
      </c>
      <c r="AB19" s="76">
        <v>631.47199999999998</v>
      </c>
      <c r="AC19" s="76">
        <v>486.084</v>
      </c>
      <c r="AD19" s="76">
        <v>602.14499999999998</v>
      </c>
      <c r="AE19" s="76">
        <v>1194.297</v>
      </c>
      <c r="AF19" s="76">
        <v>833.20899999999995</v>
      </c>
      <c r="AG19" s="76">
        <v>1021.992</v>
      </c>
      <c r="AH19" s="76">
        <v>851.07899999999995</v>
      </c>
      <c r="AI19" s="76">
        <v>1178.923</v>
      </c>
      <c r="AJ19" s="82"/>
      <c r="AK19" s="76">
        <f>SUM(D19:G19)</f>
        <v>1986.857</v>
      </c>
      <c r="AL19" s="76">
        <f>SUM(H19:K19)</f>
        <v>1404.4459999999999</v>
      </c>
      <c r="AM19" s="76">
        <f>SUM(L19:O19)</f>
        <v>2081.8270000000002</v>
      </c>
      <c r="AN19" s="76">
        <f>SUM(P19:S19)</f>
        <v>3557.442591</v>
      </c>
      <c r="AO19" s="76">
        <f>SUM(T19:W19)</f>
        <v>2304.0909999999999</v>
      </c>
      <c r="AP19" s="76">
        <f>SUM(X19:AA19)</f>
        <v>4215.1149999999998</v>
      </c>
      <c r="AQ19" s="76">
        <f>SUM(AB19:AE19)</f>
        <v>2913.998</v>
      </c>
      <c r="AR19" s="76">
        <f>SUM(AF19:AI19)</f>
        <v>3885.2029999999995</v>
      </c>
      <c r="AS19" s="82"/>
    </row>
    <row r="20" spans="1:45" ht="16.5" customHeight="1">
      <c r="A20" t="s">
        <v>386</v>
      </c>
      <c r="B20" s="34" t="s">
        <v>88</v>
      </c>
      <c r="C20" s="34" t="s">
        <v>325</v>
      </c>
      <c r="D20" s="76">
        <v>-936.26900000000001</v>
      </c>
      <c r="E20" s="76">
        <v>-2498.5709999999999</v>
      </c>
      <c r="F20" s="76">
        <v>-2024.1089999999999</v>
      </c>
      <c r="G20" s="76">
        <v>-2123.2359999999999</v>
      </c>
      <c r="H20" s="76">
        <v>-1164.558</v>
      </c>
      <c r="I20" s="76">
        <v>-4933.4489999999996</v>
      </c>
      <c r="J20" s="76">
        <v>-2206.366</v>
      </c>
      <c r="K20" s="76">
        <v>-1382.2929999999999</v>
      </c>
      <c r="L20" s="76">
        <v>-1419.4059999999999</v>
      </c>
      <c r="M20" s="76">
        <v>-1256.011</v>
      </c>
      <c r="N20" s="76">
        <v>-4056.931</v>
      </c>
      <c r="O20" s="76">
        <v>-1334.558</v>
      </c>
      <c r="P20" s="76">
        <v>-9464.3819999999996</v>
      </c>
      <c r="Q20" s="76">
        <v>-3330.16</v>
      </c>
      <c r="R20" s="76">
        <v>-1411.2090000000001</v>
      </c>
      <c r="S20" s="76">
        <v>-1590.595497</v>
      </c>
      <c r="T20" s="76">
        <v>-1506.1079999999999</v>
      </c>
      <c r="U20" s="76">
        <v>-1974.857</v>
      </c>
      <c r="V20" s="76">
        <v>-1828.393</v>
      </c>
      <c r="W20" s="76">
        <v>-2073.3829999999998</v>
      </c>
      <c r="X20" s="76">
        <v>-3124.518</v>
      </c>
      <c r="Y20" s="76">
        <v>-2825.35</v>
      </c>
      <c r="Z20" s="76">
        <v>-2139.0630000000001</v>
      </c>
      <c r="AA20" s="76">
        <v>-2478.5239999999999</v>
      </c>
      <c r="AB20" s="76">
        <v>-2185.5709999999999</v>
      </c>
      <c r="AC20" s="76">
        <v>-2153.9659999999999</v>
      </c>
      <c r="AD20" s="76">
        <v>-2441.2829999999999</v>
      </c>
      <c r="AE20" s="76">
        <v>-2881.1619999999998</v>
      </c>
      <c r="AF20" s="76">
        <v>-2560.5329999999999</v>
      </c>
      <c r="AG20" s="76">
        <v>-4150.2209999999995</v>
      </c>
      <c r="AH20" s="76">
        <v>-2853.4740000000002</v>
      </c>
      <c r="AI20" s="76">
        <v>-3284.1149999999998</v>
      </c>
      <c r="AJ20" s="82"/>
      <c r="AK20" s="76">
        <f>SUM(D20:G20)</f>
        <v>-7582.1850000000004</v>
      </c>
      <c r="AL20" s="76">
        <f>SUM(H20:K20)</f>
        <v>-9686.6659999999993</v>
      </c>
      <c r="AM20" s="76">
        <f>SUM(L20:O20)</f>
        <v>-8066.9059999999999</v>
      </c>
      <c r="AN20" s="76">
        <f>SUM(P20:S20)</f>
        <v>-15796.346497</v>
      </c>
      <c r="AO20" s="76">
        <f>SUM(T20:W20)</f>
        <v>-7382.741</v>
      </c>
      <c r="AP20" s="76">
        <f>SUM(X20:AA20)</f>
        <v>-10567.455</v>
      </c>
      <c r="AQ20" s="76">
        <f>SUM(AB20:AE20)</f>
        <v>-9661.982</v>
      </c>
      <c r="AR20" s="76">
        <f>SUM(AF20:AI20)</f>
        <v>-12848.342999999999</v>
      </c>
      <c r="AS20" s="82"/>
    </row>
    <row r="21" spans="1:45" ht="17.25" thickBot="1">
      <c r="B21" s="24"/>
      <c r="C21" s="24"/>
      <c r="D21" s="88">
        <f t="shared" ref="D21:X21" si="16">SUM(D19:D20)</f>
        <v>-410.76400000000001</v>
      </c>
      <c r="E21" s="88">
        <f t="shared" si="16"/>
        <v>-2210.8229999999999</v>
      </c>
      <c r="F21" s="88">
        <f t="shared" si="16"/>
        <v>-898.47299999999996</v>
      </c>
      <c r="G21" s="88">
        <f t="shared" si="16"/>
        <v>-2075.268</v>
      </c>
      <c r="H21" s="88">
        <f t="shared" si="16"/>
        <v>-1108.1310000000001</v>
      </c>
      <c r="I21" s="88">
        <f t="shared" si="16"/>
        <v>-4718.1179999999995</v>
      </c>
      <c r="J21" s="88">
        <f t="shared" si="16"/>
        <v>-1891.241</v>
      </c>
      <c r="K21" s="88">
        <f t="shared" si="16"/>
        <v>-564.7299999999999</v>
      </c>
      <c r="L21" s="88">
        <f t="shared" si="16"/>
        <v>-1326.6859999999999</v>
      </c>
      <c r="M21" s="88">
        <f t="shared" si="16"/>
        <v>-697.60299999999995</v>
      </c>
      <c r="N21" s="88">
        <f t="shared" si="16"/>
        <v>-3700.4769999999999</v>
      </c>
      <c r="O21" s="88">
        <f t="shared" si="16"/>
        <v>-260.3130000000001</v>
      </c>
      <c r="P21" s="88">
        <f t="shared" si="16"/>
        <v>-9087.3829999999998</v>
      </c>
      <c r="Q21" s="88">
        <f t="shared" si="16"/>
        <v>-3229.5209999999997</v>
      </c>
      <c r="R21" s="88">
        <f t="shared" si="16"/>
        <v>-1069.7440000000001</v>
      </c>
      <c r="S21" s="88">
        <f t="shared" si="16"/>
        <v>1147.7440939999999</v>
      </c>
      <c r="T21" s="88">
        <f t="shared" si="16"/>
        <v>-1172.7359999999999</v>
      </c>
      <c r="U21" s="88">
        <f t="shared" si="16"/>
        <v>-1145.9479999999999</v>
      </c>
      <c r="V21" s="88">
        <f t="shared" si="16"/>
        <v>-1107.6869999999999</v>
      </c>
      <c r="W21" s="88">
        <f t="shared" si="16"/>
        <v>-1652.2789999999998</v>
      </c>
      <c r="X21" s="88">
        <f t="shared" si="16"/>
        <v>-210.07299999999987</v>
      </c>
      <c r="Y21" s="88">
        <f t="shared" ref="Y21:AE21" si="17">SUM(Y19:Y20)</f>
        <v>-2512.2129999999997</v>
      </c>
      <c r="Z21" s="88">
        <f t="shared" si="17"/>
        <v>-1496.2980000000002</v>
      </c>
      <c r="AA21" s="88">
        <f t="shared" si="17"/>
        <v>-2133.7559999999999</v>
      </c>
      <c r="AB21" s="88">
        <f t="shared" si="17"/>
        <v>-1554.0989999999999</v>
      </c>
      <c r="AC21" s="88">
        <f t="shared" si="17"/>
        <v>-1667.8819999999998</v>
      </c>
      <c r="AD21" s="88">
        <v>-1839.1379999999999</v>
      </c>
      <c r="AE21" s="88">
        <f t="shared" si="17"/>
        <v>-1686.8649999999998</v>
      </c>
      <c r="AF21" s="88">
        <f t="shared" ref="AF21" si="18">SUM(AF19:AF20)</f>
        <v>-1727.3240000000001</v>
      </c>
      <c r="AG21" s="88">
        <f t="shared" ref="AG21:AI21" si="19">SUM(AG19:AG20)</f>
        <v>-3128.2289999999994</v>
      </c>
      <c r="AH21" s="88">
        <f t="shared" ref="AH21" si="20">SUM(AH19:AH20)</f>
        <v>-2002.3950000000002</v>
      </c>
      <c r="AI21" s="88">
        <f t="shared" si="19"/>
        <v>-2105.192</v>
      </c>
      <c r="AJ21" s="82"/>
      <c r="AK21" s="88">
        <f>SUM(AK19:AK20)</f>
        <v>-5595.3280000000004</v>
      </c>
      <c r="AL21" s="88">
        <f t="shared" ref="AL21:AO21" si="21">SUM(AL19:AL20)</f>
        <v>-8282.2199999999993</v>
      </c>
      <c r="AM21" s="88">
        <f t="shared" si="21"/>
        <v>-5985.0789999999997</v>
      </c>
      <c r="AN21" s="88">
        <f t="shared" si="21"/>
        <v>-12238.903906</v>
      </c>
      <c r="AO21" s="88">
        <f t="shared" si="21"/>
        <v>-5078.6499999999996</v>
      </c>
      <c r="AP21" s="88">
        <f>SUM(AP19:AP20)</f>
        <v>-6352.34</v>
      </c>
      <c r="AQ21" s="88">
        <f>SUM(AQ19:AQ20)</f>
        <v>-6747.9840000000004</v>
      </c>
      <c r="AR21" s="88">
        <f>SUM(AR19:AR20)</f>
        <v>-8963.14</v>
      </c>
      <c r="AS21" s="82"/>
    </row>
    <row r="22" spans="1:45" ht="17.25" thickTop="1">
      <c r="B22" s="24" t="s">
        <v>2</v>
      </c>
      <c r="C22" s="24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2"/>
      <c r="AK22" s="85"/>
      <c r="AL22" s="85"/>
      <c r="AM22" s="85"/>
      <c r="AN22" s="85"/>
      <c r="AO22" s="85"/>
      <c r="AP22" s="85"/>
      <c r="AQ22" s="85"/>
      <c r="AR22" s="85"/>
      <c r="AS22" s="82"/>
    </row>
    <row r="23" spans="1:45" ht="33">
      <c r="A23" t="s">
        <v>387</v>
      </c>
      <c r="B23" s="103" t="s">
        <v>89</v>
      </c>
      <c r="C23" s="103" t="s">
        <v>249</v>
      </c>
      <c r="D23" s="86">
        <v>1.8149999999999999</v>
      </c>
      <c r="E23" s="86">
        <v>6.109</v>
      </c>
      <c r="F23" s="86">
        <v>9.2750000000000004</v>
      </c>
      <c r="G23" s="86">
        <v>1.431</v>
      </c>
      <c r="H23" s="86">
        <v>7.05</v>
      </c>
      <c r="I23" s="86">
        <v>9.1440000000000001</v>
      </c>
      <c r="J23" s="86">
        <v>5.6740000000000004</v>
      </c>
      <c r="K23" s="86">
        <v>4.5869999999999997</v>
      </c>
      <c r="L23" s="86">
        <v>7.3979999999999997</v>
      </c>
      <c r="M23" s="86">
        <v>7.0039999999999996</v>
      </c>
      <c r="N23" s="86">
        <v>12.443</v>
      </c>
      <c r="O23" s="86">
        <v>7.3209999999999997</v>
      </c>
      <c r="P23" s="86">
        <v>13.105</v>
      </c>
      <c r="Q23" s="86">
        <v>4.9290000000000003</v>
      </c>
      <c r="R23" s="86">
        <v>21.916</v>
      </c>
      <c r="S23" s="86">
        <v>13.528958000000001</v>
      </c>
      <c r="T23" s="86">
        <v>26.710999999999999</v>
      </c>
      <c r="U23" s="86">
        <v>12.169</v>
      </c>
      <c r="V23" s="86">
        <v>32.606000000000002</v>
      </c>
      <c r="W23" s="86">
        <v>21.024999999999999</v>
      </c>
      <c r="X23" s="86">
        <v>15.161</v>
      </c>
      <c r="Y23" s="86">
        <v>20.866</v>
      </c>
      <c r="Z23" s="86">
        <v>14.801</v>
      </c>
      <c r="AA23" s="86">
        <v>9.6859999999999999</v>
      </c>
      <c r="AB23" s="86">
        <v>14.417999999999999</v>
      </c>
      <c r="AC23" s="86">
        <v>15.007999999999999</v>
      </c>
      <c r="AD23" s="86">
        <v>19.661000000000001</v>
      </c>
      <c r="AE23" s="86">
        <v>-1.48</v>
      </c>
      <c r="AF23" s="86">
        <v>-32.353000000000002</v>
      </c>
      <c r="AG23" s="86">
        <v>12.54</v>
      </c>
      <c r="AH23" s="86">
        <v>21.611000000000001</v>
      </c>
      <c r="AI23" s="86">
        <v>18.553999999999998</v>
      </c>
      <c r="AJ23" s="82"/>
      <c r="AK23" s="76">
        <f>SUM(D23:G23)</f>
        <v>18.63</v>
      </c>
      <c r="AL23" s="76">
        <f>SUM(H23:K23)</f>
        <v>26.454999999999998</v>
      </c>
      <c r="AM23" s="76">
        <f>SUM(L23:O23)</f>
        <v>34.165999999999997</v>
      </c>
      <c r="AN23" s="76">
        <f>SUM(P23:S23)</f>
        <v>53.478958000000006</v>
      </c>
      <c r="AO23" s="86">
        <f>SUM(T23:W23)</f>
        <v>92.510999999999996</v>
      </c>
      <c r="AP23" s="86">
        <f>SUM(X23:AA23)</f>
        <v>60.514000000000003</v>
      </c>
      <c r="AQ23" s="86">
        <f>SUM(AB23:AE23)</f>
        <v>47.607000000000006</v>
      </c>
      <c r="AR23" s="76">
        <f>SUM(AF23:AI23)</f>
        <v>20.351999999999997</v>
      </c>
      <c r="AS23" s="82"/>
    </row>
    <row r="24" spans="1:45" ht="16.5">
      <c r="B24" s="24"/>
      <c r="C24" s="24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2"/>
      <c r="AK24" s="85"/>
      <c r="AL24" s="85"/>
      <c r="AM24" s="85"/>
      <c r="AN24" s="85"/>
      <c r="AO24" s="85"/>
      <c r="AP24" s="85"/>
      <c r="AQ24" s="85"/>
      <c r="AR24" s="85"/>
      <c r="AS24" s="82"/>
    </row>
    <row r="25" spans="1:45" s="29" customFormat="1" ht="16.5">
      <c r="A25"/>
      <c r="B25" s="61" t="s">
        <v>90</v>
      </c>
      <c r="C25" s="61" t="s">
        <v>352</v>
      </c>
      <c r="D25" s="89">
        <f t="shared" ref="D25:W25" si="22">D17+D21+D23</f>
        <v>640.74200000000212</v>
      </c>
      <c r="E25" s="89">
        <f t="shared" si="22"/>
        <v>419.46899999999965</v>
      </c>
      <c r="F25" s="89">
        <f t="shared" si="22"/>
        <v>354.55200000000184</v>
      </c>
      <c r="G25" s="89">
        <f t="shared" si="22"/>
        <v>-263.00399999999951</v>
      </c>
      <c r="H25" s="89">
        <f t="shared" si="22"/>
        <v>467.78899999999572</v>
      </c>
      <c r="I25" s="89">
        <f t="shared" si="22"/>
        <v>-1785.5309999999952</v>
      </c>
      <c r="J25" s="89">
        <f t="shared" si="22"/>
        <v>-1114.2280000000001</v>
      </c>
      <c r="K25" s="89">
        <f t="shared" si="22"/>
        <v>1333.6090000000022</v>
      </c>
      <c r="L25" s="89">
        <f t="shared" si="22"/>
        <v>384.28600000000245</v>
      </c>
      <c r="M25" s="89">
        <f t="shared" si="22"/>
        <v>2795.3590000000049</v>
      </c>
      <c r="N25" s="89">
        <f t="shared" si="22"/>
        <v>541.78500000000236</v>
      </c>
      <c r="O25" s="89">
        <f t="shared" si="22"/>
        <v>3776.3719999999994</v>
      </c>
      <c r="P25" s="89">
        <f t="shared" si="22"/>
        <v>-6786.1940000000013</v>
      </c>
      <c r="Q25" s="89">
        <f t="shared" si="22"/>
        <v>5215.2090000000035</v>
      </c>
      <c r="R25" s="89">
        <f t="shared" si="22"/>
        <v>3976.8919999999985</v>
      </c>
      <c r="S25" s="89">
        <f t="shared" si="22"/>
        <v>5858.2865630000006</v>
      </c>
      <c r="T25" s="89">
        <f t="shared" si="22"/>
        <v>3482.2369999999942</v>
      </c>
      <c r="U25" s="89">
        <f t="shared" si="22"/>
        <v>6247.5910000000003</v>
      </c>
      <c r="V25" s="89">
        <f t="shared" si="22"/>
        <v>9816.9160000000011</v>
      </c>
      <c r="W25" s="89">
        <f t="shared" si="22"/>
        <v>7644.7110000000039</v>
      </c>
      <c r="X25" s="89">
        <f t="shared" ref="X25:AA25" si="23">X17+X21+X23</f>
        <v>7213.1130000000048</v>
      </c>
      <c r="Y25" s="89">
        <f t="shared" si="23"/>
        <v>5206.5289999999914</v>
      </c>
      <c r="Z25" s="89">
        <f t="shared" si="23"/>
        <v>5511.2290000000039</v>
      </c>
      <c r="AA25" s="89">
        <f t="shared" si="23"/>
        <v>352.99300000000204</v>
      </c>
      <c r="AB25" s="89">
        <f>AB17+AB21+AB23</f>
        <v>-2148.8829999999921</v>
      </c>
      <c r="AC25" s="89">
        <f>AC17+AC21+AC23</f>
        <v>-128.09100000001129</v>
      </c>
      <c r="AD25" s="89">
        <v>791.03500000000258</v>
      </c>
      <c r="AE25" s="89">
        <f>AE17+AE21+AE23</f>
        <v>87.856000000004784</v>
      </c>
      <c r="AF25" s="89">
        <f>AF17+AF21+AF23</f>
        <v>1820.9599999999996</v>
      </c>
      <c r="AG25" s="89">
        <f>AG17+AG21+AG23</f>
        <v>2801.3830000000007</v>
      </c>
      <c r="AH25" s="89">
        <f>AH17+AH21+AH23</f>
        <v>6638.5120000000052</v>
      </c>
      <c r="AI25" s="89">
        <f>AI17+AI21+AI23</f>
        <v>3559.7740000000113</v>
      </c>
      <c r="AJ25" s="90"/>
      <c r="AK25" s="89">
        <f>AK17+AK21+AK23</f>
        <v>1151.75900000002</v>
      </c>
      <c r="AL25" s="89">
        <f t="shared" ref="AL25:AO25" si="24">AL17+AL21+AL23</f>
        <v>-1098.3609999999971</v>
      </c>
      <c r="AM25" s="89">
        <f t="shared" si="24"/>
        <v>7497.8020000000224</v>
      </c>
      <c r="AN25" s="89">
        <f t="shared" si="24"/>
        <v>8264.1935630000044</v>
      </c>
      <c r="AO25" s="89">
        <f t="shared" si="24"/>
        <v>27191.45499999998</v>
      </c>
      <c r="AP25" s="89">
        <f>AP17+AP21+AP23</f>
        <v>18283.863999999987</v>
      </c>
      <c r="AQ25" s="89">
        <f>AQ17+AQ21+AQ23</f>
        <v>-1398.0829999999696</v>
      </c>
      <c r="AR25" s="89">
        <f>SUM(AF25:AI25)</f>
        <v>14820.629000000019</v>
      </c>
      <c r="AS25" s="82"/>
    </row>
    <row r="26" spans="1:45" ht="16.5">
      <c r="B26" s="24" t="s">
        <v>91</v>
      </c>
      <c r="C26" s="24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2"/>
      <c r="AK26" s="85"/>
      <c r="AL26" s="85"/>
      <c r="AM26" s="85"/>
      <c r="AN26" s="85"/>
      <c r="AO26" s="85"/>
      <c r="AP26" s="85"/>
      <c r="AQ26" s="85"/>
      <c r="AR26" s="85"/>
      <c r="AS26" s="82"/>
    </row>
    <row r="27" spans="1:45" ht="16.5">
      <c r="A27" t="s">
        <v>326</v>
      </c>
      <c r="B27" s="34" t="s">
        <v>92</v>
      </c>
      <c r="C27" s="34" t="s">
        <v>326</v>
      </c>
      <c r="D27" s="76">
        <v>-132.14699999999999</v>
      </c>
      <c r="E27" s="76">
        <v>-529.90300000000002</v>
      </c>
      <c r="F27" s="76">
        <v>-847.76499999999999</v>
      </c>
      <c r="G27" s="76">
        <v>235.16300000000001</v>
      </c>
      <c r="H27" s="76">
        <v>-309.09199999999998</v>
      </c>
      <c r="I27" s="76">
        <v>-591.678</v>
      </c>
      <c r="J27" s="76">
        <v>-163.60900000000001</v>
      </c>
      <c r="K27" s="76">
        <v>1311.7670000000001</v>
      </c>
      <c r="L27" s="76">
        <v>-231.465</v>
      </c>
      <c r="M27" s="76">
        <v>-726.38099999999997</v>
      </c>
      <c r="N27" s="76">
        <v>-691.56500000000005</v>
      </c>
      <c r="O27" s="76">
        <v>539.40800000000002</v>
      </c>
      <c r="P27" s="76">
        <v>-42.283999999999999</v>
      </c>
      <c r="Q27" s="76">
        <v>-1595.894</v>
      </c>
      <c r="R27" s="76">
        <v>-693.202</v>
      </c>
      <c r="S27" s="76">
        <v>-55.657767999999997</v>
      </c>
      <c r="T27" s="76">
        <v>-1159.703</v>
      </c>
      <c r="U27" s="76">
        <v>-1990.904</v>
      </c>
      <c r="V27" s="76">
        <v>-1865.154</v>
      </c>
      <c r="W27" s="76">
        <v>-2557.357</v>
      </c>
      <c r="X27" s="76">
        <v>-1948.604</v>
      </c>
      <c r="Y27" s="76">
        <v>-1630.077</v>
      </c>
      <c r="Z27" s="76">
        <v>-1316.9059999999999</v>
      </c>
      <c r="AA27" s="76">
        <v>2308.5219999999999</v>
      </c>
      <c r="AB27" s="76">
        <v>-34.840000000000003</v>
      </c>
      <c r="AC27" s="76">
        <v>-158.131</v>
      </c>
      <c r="AD27" s="76">
        <v>-478.625</v>
      </c>
      <c r="AE27" s="76">
        <v>333.13900000000001</v>
      </c>
      <c r="AF27" s="76">
        <v>-18.870999999999999</v>
      </c>
      <c r="AG27" s="76">
        <v>-1319.9449999999999</v>
      </c>
      <c r="AH27" s="76">
        <v>-789.56500000000005</v>
      </c>
      <c r="AI27" s="76">
        <v>-2753.5360000000001</v>
      </c>
      <c r="AJ27" s="82"/>
      <c r="AK27" s="76">
        <f>SUM(D27:G27)</f>
        <v>-1274.652</v>
      </c>
      <c r="AL27" s="76">
        <f>SUM(H27:K27)</f>
        <v>247.38800000000015</v>
      </c>
      <c r="AM27" s="76">
        <f>SUM(L27:O27)</f>
        <v>-1110.0030000000002</v>
      </c>
      <c r="AN27" s="76">
        <f>SUM(P27:S27)</f>
        <v>-2387.0377680000001</v>
      </c>
      <c r="AO27" s="76">
        <f>SUM(T27:W27)</f>
        <v>-7573.1180000000004</v>
      </c>
      <c r="AP27" s="76">
        <f>SUM(X27:AA27)</f>
        <v>-2587.0649999999996</v>
      </c>
      <c r="AQ27" s="76">
        <f>SUM(AB27:AE27)</f>
        <v>-338.45699999999999</v>
      </c>
      <c r="AR27" s="76">
        <f>SUM(AF27:AI27)</f>
        <v>-4881.9170000000004</v>
      </c>
      <c r="AS27" s="82"/>
    </row>
    <row r="28" spans="1:45" ht="16.5">
      <c r="A28" t="s">
        <v>381</v>
      </c>
      <c r="B28" s="34" t="s">
        <v>38</v>
      </c>
      <c r="C28" s="34" t="s">
        <v>207</v>
      </c>
      <c r="D28" s="76">
        <v>-91.662999999999997</v>
      </c>
      <c r="E28" s="76">
        <v>585.22900000000004</v>
      </c>
      <c r="F28" s="76">
        <v>972.09799999999996</v>
      </c>
      <c r="G28" s="76">
        <v>-317.3</v>
      </c>
      <c r="H28" s="76">
        <v>429.49099999999999</v>
      </c>
      <c r="I28" s="76">
        <v>1550.316</v>
      </c>
      <c r="J28" s="76">
        <v>1176.1020000000001</v>
      </c>
      <c r="K28" s="76">
        <v>-2094.8229999999999</v>
      </c>
      <c r="L28" s="76">
        <v>1015.616</v>
      </c>
      <c r="M28" s="76">
        <v>259.96800000000002</v>
      </c>
      <c r="N28" s="76">
        <v>603.79499999999996</v>
      </c>
      <c r="O28" s="76">
        <v>-1802.3219999999999</v>
      </c>
      <c r="P28" s="76">
        <v>941.38699999999994</v>
      </c>
      <c r="Q28" s="76">
        <v>-272.69099999999997</v>
      </c>
      <c r="R28" s="76">
        <v>-111.458</v>
      </c>
      <c r="S28" s="76">
        <v>-1779.4429</v>
      </c>
      <c r="T28" s="76">
        <v>-166.95500000000001</v>
      </c>
      <c r="U28" s="76">
        <v>-48.531999999999996</v>
      </c>
      <c r="V28" s="76">
        <v>-301.85199999999998</v>
      </c>
      <c r="W28" s="76">
        <v>1428.6579999999999</v>
      </c>
      <c r="X28" s="76">
        <v>174.309</v>
      </c>
      <c r="Y28" s="76">
        <v>707.62300000000005</v>
      </c>
      <c r="Z28" s="76">
        <v>69.613</v>
      </c>
      <c r="AA28" s="76">
        <v>-447.09</v>
      </c>
      <c r="AB28" s="76">
        <v>754.22199999999998</v>
      </c>
      <c r="AC28" s="76">
        <v>88.055000000000007</v>
      </c>
      <c r="AD28" s="76">
        <v>378.19600000000003</v>
      </c>
      <c r="AE28" s="76">
        <v>-213.078</v>
      </c>
      <c r="AF28" s="76">
        <v>5.0350000000000001</v>
      </c>
      <c r="AG28" s="76">
        <v>541.60799999999995</v>
      </c>
      <c r="AH28" s="76">
        <v>-1653.27</v>
      </c>
      <c r="AI28" s="76">
        <v>1871.9079999999999</v>
      </c>
      <c r="AJ28" s="82"/>
      <c r="AK28" s="76">
        <f>SUM(D28:G28)</f>
        <v>1148.364</v>
      </c>
      <c r="AL28" s="76">
        <f>SUM(H28:K28)</f>
        <v>1061.0860000000002</v>
      </c>
      <c r="AM28" s="76">
        <f>SUM(L28:O28)</f>
        <v>77.057000000000016</v>
      </c>
      <c r="AN28" s="76">
        <f>SUM(P28:S28)</f>
        <v>-1222.2049000000002</v>
      </c>
      <c r="AO28" s="76">
        <f>SUM(T28:W28)</f>
        <v>911.31899999999996</v>
      </c>
      <c r="AP28" s="76">
        <f>SUM(X28:AA28)</f>
        <v>504.4550000000001</v>
      </c>
      <c r="AQ28" s="76">
        <f>SUM(AB28:AE28)</f>
        <v>1007.395</v>
      </c>
      <c r="AR28" s="76">
        <f>SUM(AF28:AI28)</f>
        <v>765.28099999999995</v>
      </c>
      <c r="AS28" s="82"/>
    </row>
    <row r="29" spans="1:45" ht="17.25" thickBot="1">
      <c r="B29" s="24" t="s">
        <v>2</v>
      </c>
      <c r="C29" s="24" t="s">
        <v>2</v>
      </c>
      <c r="D29" s="88">
        <f t="shared" ref="D29:Z29" si="25">SUM(D27:D28)</f>
        <v>-223.81</v>
      </c>
      <c r="E29" s="88">
        <f t="shared" si="25"/>
        <v>55.326000000000022</v>
      </c>
      <c r="F29" s="88">
        <f t="shared" si="25"/>
        <v>124.33299999999997</v>
      </c>
      <c r="G29" s="88">
        <f t="shared" si="25"/>
        <v>-82.137</v>
      </c>
      <c r="H29" s="88">
        <f t="shared" si="25"/>
        <v>120.399</v>
      </c>
      <c r="I29" s="88">
        <f t="shared" si="25"/>
        <v>958.63800000000003</v>
      </c>
      <c r="J29" s="88">
        <f t="shared" si="25"/>
        <v>1012.4930000000001</v>
      </c>
      <c r="K29" s="88">
        <f t="shared" si="25"/>
        <v>-783.05599999999981</v>
      </c>
      <c r="L29" s="88">
        <f t="shared" si="25"/>
        <v>784.15099999999995</v>
      </c>
      <c r="M29" s="88">
        <f t="shared" si="25"/>
        <v>-466.41299999999995</v>
      </c>
      <c r="N29" s="88">
        <f t="shared" si="25"/>
        <v>-87.770000000000095</v>
      </c>
      <c r="O29" s="88">
        <f t="shared" si="25"/>
        <v>-1262.9139999999998</v>
      </c>
      <c r="P29" s="88">
        <f t="shared" si="25"/>
        <v>899.10299999999995</v>
      </c>
      <c r="Q29" s="88">
        <f t="shared" si="25"/>
        <v>-1868.585</v>
      </c>
      <c r="R29" s="88">
        <f t="shared" si="25"/>
        <v>-804.66</v>
      </c>
      <c r="S29" s="88">
        <f t="shared" si="25"/>
        <v>-1835.100668</v>
      </c>
      <c r="T29" s="88">
        <f t="shared" si="25"/>
        <v>-1326.6579999999999</v>
      </c>
      <c r="U29" s="88">
        <f t="shared" si="25"/>
        <v>-2039.4359999999999</v>
      </c>
      <c r="V29" s="88">
        <f t="shared" si="25"/>
        <v>-2167.0059999999999</v>
      </c>
      <c r="W29" s="88">
        <f t="shared" si="25"/>
        <v>-1128.6990000000001</v>
      </c>
      <c r="X29" s="88">
        <f t="shared" si="25"/>
        <v>-1774.2950000000001</v>
      </c>
      <c r="Y29" s="88">
        <f t="shared" si="25"/>
        <v>-922.45399999999995</v>
      </c>
      <c r="Z29" s="88">
        <f t="shared" si="25"/>
        <v>-1247.2929999999999</v>
      </c>
      <c r="AA29" s="88">
        <f>SUM(AA27:AA28)</f>
        <v>1861.432</v>
      </c>
      <c r="AB29" s="88">
        <f>SUM(AB27:AB28)</f>
        <v>719.38199999999995</v>
      </c>
      <c r="AC29" s="88">
        <f>SUM(AC27:AC28)</f>
        <v>-70.075999999999993</v>
      </c>
      <c r="AD29" s="88">
        <v>-100.42899999999997</v>
      </c>
      <c r="AE29" s="88">
        <f>SUM(AE27:AE28)</f>
        <v>120.06100000000001</v>
      </c>
      <c r="AF29" s="88">
        <f>(SUM(AF27:AF28))</f>
        <v>-13.835999999999999</v>
      </c>
      <c r="AG29" s="88">
        <f>(SUM(AG27:AG28))</f>
        <v>-778.33699999999999</v>
      </c>
      <c r="AH29" s="88">
        <f>(SUM(AH27:AH28))</f>
        <v>-2442.835</v>
      </c>
      <c r="AI29" s="88">
        <f>(SUM(AI27:AI28))</f>
        <v>-881.62800000000016</v>
      </c>
      <c r="AJ29" s="82"/>
      <c r="AK29" s="88">
        <f t="shared" ref="AK29:AO29" si="26">SUM(AK27:AK28)</f>
        <v>-126.28800000000001</v>
      </c>
      <c r="AL29" s="88">
        <f t="shared" si="26"/>
        <v>1308.4740000000004</v>
      </c>
      <c r="AM29" s="88">
        <f t="shared" si="26"/>
        <v>-1032.9460000000001</v>
      </c>
      <c r="AN29" s="88">
        <f t="shared" si="26"/>
        <v>-3609.2426680000003</v>
      </c>
      <c r="AO29" s="88">
        <f t="shared" si="26"/>
        <v>-6661.7990000000009</v>
      </c>
      <c r="AP29" s="88">
        <f>SUM(AP27:AP28)</f>
        <v>-2082.6099999999997</v>
      </c>
      <c r="AQ29" s="88">
        <f>SUM(AQ27:AQ28)</f>
        <v>668.93799999999999</v>
      </c>
      <c r="AR29" s="88">
        <f>SUM(AR27:AR28)</f>
        <v>-4116.6360000000004</v>
      </c>
      <c r="AS29" s="82"/>
    </row>
    <row r="30" spans="1:45" s="118" customFormat="1" ht="17.25" thickTop="1">
      <c r="B30" s="34" t="s">
        <v>363</v>
      </c>
      <c r="C30" s="34" t="s">
        <v>364</v>
      </c>
      <c r="D30" s="119">
        <f t="shared" ref="D30" si="27">IFERROR((-D29)/D25,0)</f>
        <v>0.34929815744870674</v>
      </c>
      <c r="E30" s="119">
        <f t="shared" ref="E30" si="28">IFERROR((-E29)/E25,0)</f>
        <v>-0.13189532480350172</v>
      </c>
      <c r="F30" s="119">
        <f t="shared" ref="F30" si="29">IFERROR((-F29)/F25,0)</f>
        <v>-0.35067634648796037</v>
      </c>
      <c r="G30" s="119">
        <f t="shared" ref="G30" si="30">IFERROR((-G29)/G25,0)</f>
        <v>-0.31230323493178869</v>
      </c>
      <c r="H30" s="119">
        <f t="shared" ref="H30" si="31">IFERROR((-H29)/H25,0)</f>
        <v>-0.25737886098219731</v>
      </c>
      <c r="I30" s="119">
        <f t="shared" ref="I30" si="32">IFERROR((-I29)/I25,0)</f>
        <v>0.53689238663456562</v>
      </c>
      <c r="J30" s="119">
        <f t="shared" ref="J30" si="33">IFERROR((-J29)/J25,0)</f>
        <v>0.90869462982441651</v>
      </c>
      <c r="K30" s="119">
        <f t="shared" ref="K30" si="34">IFERROR((-K29)/K25,0)</f>
        <v>0.58717060247793662</v>
      </c>
      <c r="L30" s="119">
        <f t="shared" ref="L30" si="35">IFERROR((-L29)/L25,0)</f>
        <v>-2.0405401185575194</v>
      </c>
      <c r="M30" s="119">
        <f t="shared" ref="M30" si="36">IFERROR((-M29)/M25,0)</f>
        <v>0.16685262966223627</v>
      </c>
      <c r="N30" s="119">
        <f t="shared" ref="N30" si="37">IFERROR((-N29)/N25,0)</f>
        <v>0.16200153197301459</v>
      </c>
      <c r="O30" s="119">
        <f t="shared" ref="O30" si="38">IFERROR((-O29)/O25,0)</f>
        <v>0.33442521022822963</v>
      </c>
      <c r="P30" s="119">
        <f t="shared" ref="P30" si="39">IFERROR((-P29)/P25,0)</f>
        <v>0.13249002312636504</v>
      </c>
      <c r="Q30" s="119">
        <f t="shared" ref="Q30" si="40">IFERROR((-Q29)/Q25,0)</f>
        <v>0.35829532431010891</v>
      </c>
      <c r="R30" s="119">
        <f t="shared" ref="R30" si="41">IFERROR((-R29)/R25,0)</f>
        <v>0.20233388284117354</v>
      </c>
      <c r="S30" s="119">
        <f t="shared" ref="S30" si="42">IFERROR((-S29)/S25,0)</f>
        <v>0.31324870305768276</v>
      </c>
      <c r="T30" s="119">
        <f t="shared" ref="T30" si="43">IFERROR((-T29)/T25,0)</f>
        <v>0.38097866400247948</v>
      </c>
      <c r="U30" s="119">
        <f t="shared" ref="U30" si="44">IFERROR((-U29)/U25,0)</f>
        <v>0.32643558133046796</v>
      </c>
      <c r="V30" s="119">
        <f t="shared" ref="V30" si="45">IFERROR((-V29)/V25,0)</f>
        <v>0.22074203344512672</v>
      </c>
      <c r="W30" s="119">
        <f t="shared" ref="W30" si="46">IFERROR((-W29)/W25,0)</f>
        <v>0.14764443024726501</v>
      </c>
      <c r="X30" s="119">
        <f t="shared" ref="X30" si="47">IFERROR((-X29)/X25,0)</f>
        <v>0.24598186663649924</v>
      </c>
      <c r="Y30" s="119">
        <f t="shared" ref="Y30" si="48">IFERROR((-Y29)/Y25,0)</f>
        <v>0.17717254623953915</v>
      </c>
      <c r="Z30" s="119">
        <f t="shared" ref="Z30" si="49">IFERROR((-Z29)/Z25,0)</f>
        <v>0.22631848540497937</v>
      </c>
      <c r="AA30" s="119">
        <f t="shared" ref="AA30:AE30" si="50">IFERROR((-AA29)/AA25,0)</f>
        <v>-5.2732830396069872</v>
      </c>
      <c r="AB30" s="119">
        <f t="shared" si="50"/>
        <v>0.33477020386870882</v>
      </c>
      <c r="AC30" s="119">
        <v>-0.54707981044721188</v>
      </c>
      <c r="AD30" s="119">
        <v>0.12695898411574663</v>
      </c>
      <c r="AE30" s="119">
        <f t="shared" si="50"/>
        <v>-1.3665657439445624</v>
      </c>
      <c r="AF30" s="119">
        <f t="shared" ref="AF30" si="51">IFERROR((-AF29)/AF25,0)</f>
        <v>7.5981899657323621E-3</v>
      </c>
      <c r="AG30" s="119">
        <f t="shared" ref="AG30:AH30" si="52">IFERROR((-AG29)/AG25,0)</f>
        <v>0.27784026675395679</v>
      </c>
      <c r="AH30" s="119">
        <f t="shared" si="52"/>
        <v>0.36797930018052211</v>
      </c>
      <c r="AI30" s="119">
        <f t="shared" ref="AI30" si="53">IFERROR((-AI29)/AI25,0)</f>
        <v>0.24766403709898363</v>
      </c>
      <c r="AJ30" s="120"/>
      <c r="AK30" s="119">
        <f t="shared" ref="AK30:AN30" si="54">IFERROR((-AK29)/AK25,0)</f>
        <v>0.10964793850102132</v>
      </c>
      <c r="AL30" s="119">
        <f t="shared" si="54"/>
        <v>1.1912968504890502</v>
      </c>
      <c r="AM30" s="119">
        <f t="shared" si="54"/>
        <v>0.13776650810464147</v>
      </c>
      <c r="AN30" s="119">
        <f t="shared" si="54"/>
        <v>0.43673259108536666</v>
      </c>
      <c r="AO30" s="119">
        <f>IFERROR((-AO29)/AO25,0)</f>
        <v>0.24499604747153125</v>
      </c>
      <c r="AP30" s="119">
        <f>IFERROR((-AP29)/AP25,0)</f>
        <v>0.11390426006231512</v>
      </c>
      <c r="AQ30" s="119">
        <f>IFERROR((-AQ29)/AQ25,0)</f>
        <v>0.47846801656268945</v>
      </c>
      <c r="AR30" s="119">
        <f>IFERROR((-AR29)/AR25,0)</f>
        <v>0.27776391946657564</v>
      </c>
      <c r="AS30" s="82"/>
    </row>
    <row r="31" spans="1:45" ht="17.25" thickBot="1">
      <c r="A31" t="s">
        <v>388</v>
      </c>
      <c r="B31" s="59" t="s">
        <v>93</v>
      </c>
      <c r="C31" s="59" t="s">
        <v>244</v>
      </c>
      <c r="D31" s="92">
        <f t="shared" ref="D31:AC31" si="55">D25+D29</f>
        <v>416.93200000000212</v>
      </c>
      <c r="E31" s="92">
        <f t="shared" si="55"/>
        <v>474.79499999999967</v>
      </c>
      <c r="F31" s="92">
        <f t="shared" si="55"/>
        <v>478.88500000000181</v>
      </c>
      <c r="G31" s="92">
        <f t="shared" si="55"/>
        <v>-345.14099999999951</v>
      </c>
      <c r="H31" s="92">
        <f t="shared" si="55"/>
        <v>588.18799999999578</v>
      </c>
      <c r="I31" s="92">
        <f t="shared" si="55"/>
        <v>-826.89299999999514</v>
      </c>
      <c r="J31" s="92">
        <f t="shared" si="55"/>
        <v>-101.73500000000001</v>
      </c>
      <c r="K31" s="92">
        <f t="shared" si="55"/>
        <v>550.55300000000238</v>
      </c>
      <c r="L31" s="92">
        <f t="shared" si="55"/>
        <v>1168.4370000000024</v>
      </c>
      <c r="M31" s="92">
        <f t="shared" si="55"/>
        <v>2328.9460000000049</v>
      </c>
      <c r="N31" s="92">
        <f t="shared" si="55"/>
        <v>454.01500000000226</v>
      </c>
      <c r="O31" s="92">
        <f t="shared" si="55"/>
        <v>2513.4579999999996</v>
      </c>
      <c r="P31" s="92">
        <f t="shared" si="55"/>
        <v>-5887.0910000000013</v>
      </c>
      <c r="Q31" s="92">
        <f t="shared" si="55"/>
        <v>3346.6240000000034</v>
      </c>
      <c r="R31" s="92">
        <f t="shared" si="55"/>
        <v>3172.2319999999986</v>
      </c>
      <c r="S31" s="92">
        <f t="shared" si="55"/>
        <v>4023.1858950000005</v>
      </c>
      <c r="T31" s="92">
        <f t="shared" si="55"/>
        <v>2155.5789999999943</v>
      </c>
      <c r="U31" s="92">
        <f t="shared" si="55"/>
        <v>4208.1550000000007</v>
      </c>
      <c r="V31" s="92">
        <f t="shared" si="55"/>
        <v>7649.9100000000017</v>
      </c>
      <c r="W31" s="92">
        <f t="shared" si="55"/>
        <v>6516.0120000000043</v>
      </c>
      <c r="X31" s="92">
        <f t="shared" si="55"/>
        <v>5438.8180000000048</v>
      </c>
      <c r="Y31" s="92">
        <f t="shared" si="55"/>
        <v>4284.0749999999916</v>
      </c>
      <c r="Z31" s="92">
        <f t="shared" si="55"/>
        <v>4263.9360000000042</v>
      </c>
      <c r="AA31" s="92">
        <f t="shared" si="55"/>
        <v>2214.425000000002</v>
      </c>
      <c r="AB31" s="92">
        <f t="shared" si="55"/>
        <v>-1429.500999999992</v>
      </c>
      <c r="AC31" s="92">
        <f t="shared" si="55"/>
        <v>-198.16700000001129</v>
      </c>
      <c r="AD31" s="92">
        <v>690.60600000000261</v>
      </c>
      <c r="AE31" s="92">
        <f>AE25+AE29</f>
        <v>207.9170000000048</v>
      </c>
      <c r="AF31" s="92">
        <f>AF25+AF29</f>
        <v>1807.1239999999996</v>
      </c>
      <c r="AG31" s="92">
        <f>AG25+AG29</f>
        <v>2023.0460000000007</v>
      </c>
      <c r="AH31" s="92">
        <f>AH25+AH29</f>
        <v>4195.6770000000051</v>
      </c>
      <c r="AI31" s="92">
        <f>AI25+AI29</f>
        <v>2678.1460000000111</v>
      </c>
      <c r="AJ31" s="82"/>
      <c r="AK31" s="92">
        <f t="shared" ref="AK31:AO31" si="56">AK25+AK29</f>
        <v>1025.47100000002</v>
      </c>
      <c r="AL31" s="92">
        <f t="shared" si="56"/>
        <v>210.11300000000324</v>
      </c>
      <c r="AM31" s="92">
        <f t="shared" si="56"/>
        <v>6464.8560000000225</v>
      </c>
      <c r="AN31" s="92">
        <f t="shared" si="56"/>
        <v>4654.9508950000036</v>
      </c>
      <c r="AO31" s="92">
        <f t="shared" si="56"/>
        <v>20529.655999999981</v>
      </c>
      <c r="AP31" s="92">
        <f>AP25+AP29</f>
        <v>16201.253999999986</v>
      </c>
      <c r="AQ31" s="92">
        <f>AQ25+AQ29</f>
        <v>-729.14499999996963</v>
      </c>
      <c r="AR31" s="92">
        <f>AR25+AR29</f>
        <v>10703.993000000019</v>
      </c>
      <c r="AS31" s="82"/>
    </row>
    <row r="32" spans="1:45" ht="17.25" thickTop="1">
      <c r="B32" s="27"/>
      <c r="C32" s="27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2"/>
      <c r="AK32" s="86"/>
      <c r="AL32" s="86"/>
      <c r="AM32" s="86"/>
      <c r="AN32" s="86"/>
      <c r="AO32" s="86"/>
      <c r="AP32" s="86"/>
      <c r="AQ32" s="86"/>
      <c r="AR32" s="86"/>
      <c r="AS32" s="82"/>
    </row>
    <row r="33" spans="1:45" ht="16.5">
      <c r="B33" s="22" t="s">
        <v>94</v>
      </c>
      <c r="C33" s="22" t="s">
        <v>245</v>
      </c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2"/>
      <c r="AK33" s="86"/>
      <c r="AL33" s="86"/>
      <c r="AM33" s="86"/>
      <c r="AN33" s="86"/>
      <c r="AO33" s="86"/>
      <c r="AP33" s="86"/>
      <c r="AQ33" s="86"/>
      <c r="AR33" s="86"/>
      <c r="AS33" s="82"/>
    </row>
    <row r="34" spans="1:45" ht="16.5">
      <c r="A34" t="s">
        <v>327</v>
      </c>
      <c r="B34" s="34" t="s">
        <v>95</v>
      </c>
      <c r="C34" s="34" t="s">
        <v>327</v>
      </c>
      <c r="D34" s="76">
        <v>353.04700000000003</v>
      </c>
      <c r="E34" s="76">
        <v>309.84399999999999</v>
      </c>
      <c r="F34" s="76">
        <v>323.04700000000003</v>
      </c>
      <c r="G34" s="76">
        <v>-451.73399999999998</v>
      </c>
      <c r="H34" s="76">
        <v>506.52199999999999</v>
      </c>
      <c r="I34" s="76">
        <v>-911.077</v>
      </c>
      <c r="J34" s="76">
        <v>-133.49</v>
      </c>
      <c r="K34" s="76">
        <v>563.24099999999999</v>
      </c>
      <c r="L34" s="76">
        <v>1092.748</v>
      </c>
      <c r="M34" s="76">
        <v>2183.48</v>
      </c>
      <c r="N34" s="76">
        <v>356.71499999999997</v>
      </c>
      <c r="O34" s="76">
        <v>2435.4270000000001</v>
      </c>
      <c r="P34" s="76">
        <v>-5933.0150000000003</v>
      </c>
      <c r="Q34" s="76">
        <v>3379.2359999999999</v>
      </c>
      <c r="R34" s="76">
        <v>3132.732</v>
      </c>
      <c r="S34" s="76">
        <v>4019.3596910000001</v>
      </c>
      <c r="T34" s="76">
        <v>2045.521</v>
      </c>
      <c r="U34" s="76">
        <v>4382.4620000000004</v>
      </c>
      <c r="V34" s="76">
        <v>7585.57</v>
      </c>
      <c r="W34" s="76">
        <v>6473.009</v>
      </c>
      <c r="X34" s="76">
        <v>5142.2730000000001</v>
      </c>
      <c r="Y34" s="76">
        <v>3952.2649999999999</v>
      </c>
      <c r="Z34" s="76">
        <v>4013.6080000000002</v>
      </c>
      <c r="AA34" s="76">
        <v>2349.69</v>
      </c>
      <c r="AB34" s="76">
        <v>-1452.6030000000001</v>
      </c>
      <c r="AC34" s="76">
        <v>-263.62400000000002</v>
      </c>
      <c r="AD34" s="76">
        <v>572.65099999999995</v>
      </c>
      <c r="AE34" s="76">
        <v>82.603999999999999</v>
      </c>
      <c r="AF34" s="76">
        <v>1646.0070000000001</v>
      </c>
      <c r="AG34" s="76">
        <v>1715.2059999999999</v>
      </c>
      <c r="AH34" s="76">
        <v>3842.538</v>
      </c>
      <c r="AI34" s="76">
        <v>2412.1722722599998</v>
      </c>
      <c r="AJ34" s="82"/>
      <c r="AK34" s="76">
        <f>SUM(D34:G34)</f>
        <v>534.20400000000018</v>
      </c>
      <c r="AL34" s="76">
        <f>SUM(H34:K34)</f>
        <v>25.195999999999913</v>
      </c>
      <c r="AM34" s="76">
        <f>SUM(L34:O34)</f>
        <v>6068.3700000000008</v>
      </c>
      <c r="AN34" s="76">
        <f>SUM(P34:S34)</f>
        <v>4598.3126909999992</v>
      </c>
      <c r="AO34" s="76">
        <f>SUM(T34:W34)</f>
        <v>20486.561999999998</v>
      </c>
      <c r="AP34" s="76">
        <f>SUM(X34:AA34)</f>
        <v>15457.836000000001</v>
      </c>
      <c r="AQ34" s="76">
        <f>SUM(AB34:AE34)</f>
        <v>-1060.972</v>
      </c>
      <c r="AR34" s="76">
        <f>SUM(AF34:AI34)</f>
        <v>9615.9232722599991</v>
      </c>
      <c r="AS34" s="82"/>
    </row>
    <row r="35" spans="1:45" ht="16.5">
      <c r="A35" t="s">
        <v>317</v>
      </c>
      <c r="B35" s="34" t="s">
        <v>96</v>
      </c>
      <c r="C35" s="34" t="s">
        <v>317</v>
      </c>
      <c r="D35" s="93">
        <v>63.884999999999998</v>
      </c>
      <c r="E35" s="93">
        <v>164.95099999999999</v>
      </c>
      <c r="F35" s="93">
        <v>155.83799999999999</v>
      </c>
      <c r="G35" s="93">
        <v>106.593</v>
      </c>
      <c r="H35" s="93">
        <v>81.665999999999997</v>
      </c>
      <c r="I35" s="93">
        <v>84.183999999999997</v>
      </c>
      <c r="J35" s="93">
        <v>31.754999999999999</v>
      </c>
      <c r="K35" s="93">
        <v>-12.688000000000001</v>
      </c>
      <c r="L35" s="93">
        <v>75.688999999999993</v>
      </c>
      <c r="M35" s="93">
        <v>145.46600000000001</v>
      </c>
      <c r="N35" s="93">
        <v>97.3</v>
      </c>
      <c r="O35" s="93">
        <v>78.031000000000006</v>
      </c>
      <c r="P35" s="93">
        <v>45.923999999999999</v>
      </c>
      <c r="Q35" s="93">
        <v>-32.612000000000002</v>
      </c>
      <c r="R35" s="93">
        <v>39.5</v>
      </c>
      <c r="S35" s="93">
        <v>3.826206</v>
      </c>
      <c r="T35" s="93">
        <v>110.05800000000001</v>
      </c>
      <c r="U35" s="93">
        <v>-174.30699999999999</v>
      </c>
      <c r="V35" s="93">
        <v>64.34</v>
      </c>
      <c r="W35" s="93">
        <v>43.000999999999998</v>
      </c>
      <c r="X35" s="93">
        <v>296.54500000000002</v>
      </c>
      <c r="Y35" s="93">
        <v>331.81</v>
      </c>
      <c r="Z35" s="93">
        <v>250.328</v>
      </c>
      <c r="AA35" s="93">
        <v>-135.26499999999999</v>
      </c>
      <c r="AB35" s="93">
        <v>23.102</v>
      </c>
      <c r="AC35" s="93">
        <v>65.456999999999994</v>
      </c>
      <c r="AD35" s="93">
        <v>117.955</v>
      </c>
      <c r="AE35" s="93">
        <v>125.313</v>
      </c>
      <c r="AF35" s="93">
        <v>161.11699999999999</v>
      </c>
      <c r="AG35" s="93">
        <v>307.83999999999997</v>
      </c>
      <c r="AH35" s="93">
        <v>353.13900000000001</v>
      </c>
      <c r="AI35" s="93">
        <v>265.97391732081797</v>
      </c>
      <c r="AJ35" s="82"/>
      <c r="AK35" s="93">
        <f>SUM(D35:G35)</f>
        <v>491.267</v>
      </c>
      <c r="AL35" s="93">
        <f>SUM(H35:K35)</f>
        <v>184.917</v>
      </c>
      <c r="AM35" s="93">
        <f>SUM(L35:O35)</f>
        <v>396.48599999999999</v>
      </c>
      <c r="AN35" s="93">
        <f>SUM(P35:S35)</f>
        <v>56.638205999999997</v>
      </c>
      <c r="AO35" s="93">
        <f>SUM(T35:W35)</f>
        <v>43.09200000000002</v>
      </c>
      <c r="AP35" s="93">
        <f>SUM(X35:AA35)</f>
        <v>743.41800000000001</v>
      </c>
      <c r="AQ35" s="76">
        <f>SUM(AB35:AE35)</f>
        <v>331.827</v>
      </c>
      <c r="AR35" s="76">
        <f>SUM(AF35:AI35)</f>
        <v>1088.0699173208179</v>
      </c>
      <c r="AS35" s="82"/>
    </row>
    <row r="36" spans="1:45" ht="17.25" thickBot="1">
      <c r="B36" s="24"/>
      <c r="C36" s="24"/>
      <c r="D36" s="92">
        <f t="shared" ref="D36:X36" si="57">SUM(D34:D35)</f>
        <v>416.93200000000002</v>
      </c>
      <c r="E36" s="92">
        <f t="shared" si="57"/>
        <v>474.79499999999996</v>
      </c>
      <c r="F36" s="92">
        <f t="shared" si="57"/>
        <v>478.88499999999999</v>
      </c>
      <c r="G36" s="92">
        <f t="shared" si="57"/>
        <v>-345.14099999999996</v>
      </c>
      <c r="H36" s="92">
        <f t="shared" si="57"/>
        <v>588.18799999999999</v>
      </c>
      <c r="I36" s="92">
        <f t="shared" si="57"/>
        <v>-826.89300000000003</v>
      </c>
      <c r="J36" s="92">
        <f t="shared" si="57"/>
        <v>-101.73500000000001</v>
      </c>
      <c r="K36" s="92">
        <f t="shared" si="57"/>
        <v>550.553</v>
      </c>
      <c r="L36" s="92">
        <f t="shared" si="57"/>
        <v>1168.4370000000001</v>
      </c>
      <c r="M36" s="92">
        <f t="shared" si="57"/>
        <v>2328.9459999999999</v>
      </c>
      <c r="N36" s="92">
        <f t="shared" si="57"/>
        <v>454.01499999999999</v>
      </c>
      <c r="O36" s="92">
        <f t="shared" si="57"/>
        <v>2513.4580000000001</v>
      </c>
      <c r="P36" s="92">
        <f t="shared" si="57"/>
        <v>-5887.0910000000003</v>
      </c>
      <c r="Q36" s="92">
        <f t="shared" si="57"/>
        <v>3346.6239999999998</v>
      </c>
      <c r="R36" s="92">
        <f t="shared" si="57"/>
        <v>3172.232</v>
      </c>
      <c r="S36" s="92">
        <f t="shared" si="57"/>
        <v>4023.1858970000003</v>
      </c>
      <c r="T36" s="92">
        <f t="shared" si="57"/>
        <v>2155.5790000000002</v>
      </c>
      <c r="U36" s="92">
        <f t="shared" si="57"/>
        <v>4208.1550000000007</v>
      </c>
      <c r="V36" s="92">
        <f t="shared" si="57"/>
        <v>7649.91</v>
      </c>
      <c r="W36" s="92">
        <f t="shared" si="57"/>
        <v>6516.01</v>
      </c>
      <c r="X36" s="92">
        <f t="shared" si="57"/>
        <v>5438.8180000000002</v>
      </c>
      <c r="Y36" s="92">
        <f t="shared" ref="Y36:AE36" si="58">SUM(Y34:Y35)</f>
        <v>4284.0749999999998</v>
      </c>
      <c r="Z36" s="92">
        <f t="shared" si="58"/>
        <v>4263.9360000000006</v>
      </c>
      <c r="AA36" s="92">
        <f t="shared" si="58"/>
        <v>2214.4250000000002</v>
      </c>
      <c r="AB36" s="92">
        <f t="shared" si="58"/>
        <v>-1429.501</v>
      </c>
      <c r="AC36" s="92">
        <f t="shared" si="58"/>
        <v>-198.16700000000003</v>
      </c>
      <c r="AD36" s="92">
        <v>690.60599999999999</v>
      </c>
      <c r="AE36" s="92">
        <f t="shared" si="58"/>
        <v>207.917</v>
      </c>
      <c r="AF36" s="92">
        <f t="shared" ref="AF36" si="59">SUM(AF34:AF35)</f>
        <v>1807.124</v>
      </c>
      <c r="AG36" s="92">
        <f t="shared" ref="AG36:AI36" si="60">SUM(AG34:AG35)</f>
        <v>2023.0459999999998</v>
      </c>
      <c r="AH36" s="92">
        <f t="shared" ref="AH36" si="61">SUM(AH34:AH35)</f>
        <v>4195.6769999999997</v>
      </c>
      <c r="AI36" s="92">
        <f t="shared" si="60"/>
        <v>2678.1461895808179</v>
      </c>
      <c r="AJ36" s="82"/>
      <c r="AK36" s="92">
        <f>SUM(AK34:AK35)</f>
        <v>1025.4710000000002</v>
      </c>
      <c r="AL36" s="92">
        <f t="shared" ref="AL36:AO36" si="62">SUM(AL34:AL35)</f>
        <v>210.11299999999991</v>
      </c>
      <c r="AM36" s="92">
        <f t="shared" si="62"/>
        <v>6464.8560000000007</v>
      </c>
      <c r="AN36" s="92">
        <f t="shared" si="62"/>
        <v>4654.9508969999988</v>
      </c>
      <c r="AO36" s="92">
        <f t="shared" si="62"/>
        <v>20529.653999999999</v>
      </c>
      <c r="AP36" s="92">
        <f>SUM(AP34:AP35)</f>
        <v>16201.254000000001</v>
      </c>
      <c r="AQ36" s="92">
        <f>SUM(AQ34:AQ35)</f>
        <v>-729.14499999999998</v>
      </c>
      <c r="AR36" s="92">
        <f>SUM(AR34:AR35)</f>
        <v>10703.993189580817</v>
      </c>
      <c r="AS36" s="82"/>
    </row>
    <row r="37" spans="1:45" ht="17.25" thickTop="1">
      <c r="B37" s="24" t="s">
        <v>2</v>
      </c>
      <c r="C37" s="24" t="s">
        <v>2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K37" s="13"/>
      <c r="AL37" s="13"/>
      <c r="AM37" s="13"/>
      <c r="AN37" s="13"/>
      <c r="AO37" s="13"/>
      <c r="AP37" s="13"/>
      <c r="AQ37" s="13"/>
      <c r="AR37" s="13"/>
      <c r="AS37" s="82"/>
    </row>
    <row r="38" spans="1:45" ht="16.5">
      <c r="A38" t="s">
        <v>389</v>
      </c>
      <c r="B38" s="59" t="s">
        <v>351</v>
      </c>
      <c r="C38" s="59" t="s">
        <v>365</v>
      </c>
      <c r="D38" s="63">
        <v>0.12</v>
      </c>
      <c r="E38" s="63">
        <v>0.12</v>
      </c>
      <c r="F38" s="63">
        <v>0.12</v>
      </c>
      <c r="G38" s="63">
        <v>-0.17</v>
      </c>
      <c r="H38" s="63">
        <v>0.18</v>
      </c>
      <c r="I38" s="63">
        <v>-0.34</v>
      </c>
      <c r="J38" s="63">
        <v>-0.05</v>
      </c>
      <c r="K38" s="63">
        <v>0.22</v>
      </c>
      <c r="L38" s="63">
        <v>0.41</v>
      </c>
      <c r="M38" s="63">
        <v>0.82</v>
      </c>
      <c r="N38" s="63">
        <v>0.13</v>
      </c>
      <c r="O38" s="63">
        <v>0.91</v>
      </c>
      <c r="P38" s="63">
        <v>-2.23</v>
      </c>
      <c r="Q38" s="63">
        <v>1.27</v>
      </c>
      <c r="R38" s="63">
        <v>1.17</v>
      </c>
      <c r="S38" s="63">
        <v>1.53</v>
      </c>
      <c r="T38" s="63">
        <v>0.81</v>
      </c>
      <c r="U38" s="63">
        <v>1.75</v>
      </c>
      <c r="V38" s="63">
        <v>3.01</v>
      </c>
      <c r="W38" s="63">
        <v>2.69</v>
      </c>
      <c r="X38" s="63">
        <v>2.29</v>
      </c>
      <c r="Y38" s="63">
        <v>1.78</v>
      </c>
      <c r="Z38" s="63">
        <v>1.81</v>
      </c>
      <c r="AA38" s="63">
        <v>1.0599999999999989</v>
      </c>
      <c r="AB38" s="63">
        <f>AB34*1000000/2218116370</f>
        <v>-0.65488133068509835</v>
      </c>
      <c r="AC38" s="63">
        <f>AC34*1000000/2218116370</f>
        <v>-0.11885039196568394</v>
      </c>
      <c r="AD38" s="146">
        <v>0.26</v>
      </c>
      <c r="AE38" s="63">
        <v>0.04</v>
      </c>
      <c r="AF38" s="63">
        <f t="shared" ref="AF38:AG38" si="63">+(AF34*10^6)/2218116370</f>
        <v>0.74207423120906857</v>
      </c>
      <c r="AG38" s="63">
        <f t="shared" si="63"/>
        <v>0.77327142218422018</v>
      </c>
      <c r="AH38" s="63">
        <f t="shared" ref="AH38" si="64">+(AH34*10^6)/2218116370</f>
        <v>1.7323428346547931</v>
      </c>
      <c r="AI38" s="63">
        <f t="shared" ref="AI38" si="65">+(AI34*10^6)/2218116370</f>
        <v>1.0874867995586723</v>
      </c>
      <c r="AK38" s="63">
        <f>SUM(D38:G38)</f>
        <v>0.18999999999999997</v>
      </c>
      <c r="AL38" s="63">
        <f>SUM(H38:K38)</f>
        <v>9.9999999999999811E-3</v>
      </c>
      <c r="AM38" s="63">
        <f>SUM(L38:O38)</f>
        <v>2.27</v>
      </c>
      <c r="AN38" s="63">
        <f>SUM(P38:S38)</f>
        <v>1.74</v>
      </c>
      <c r="AO38" s="63">
        <f>SUM(T38:W38)</f>
        <v>8.26</v>
      </c>
      <c r="AP38" s="63">
        <f>SUM(X38:AA38)-0.01</f>
        <v>6.93</v>
      </c>
      <c r="AQ38" s="63">
        <f>SUM(AB38:AE38)-0.01</f>
        <v>-0.48373172265078229</v>
      </c>
      <c r="AR38" s="63">
        <f>SUM(AF38:AI38)</f>
        <v>4.335175287606754</v>
      </c>
      <c r="AS38" s="82"/>
    </row>
    <row r="39" spans="1:45" ht="16.5" hidden="1">
      <c r="B39" s="59"/>
      <c r="C39" s="59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K39" s="64"/>
      <c r="AL39" s="64"/>
      <c r="AM39" s="64"/>
      <c r="AN39" s="64"/>
      <c r="AO39" s="64"/>
      <c r="AP39" s="64"/>
      <c r="AQ39" s="64"/>
      <c r="AR39" s="64"/>
      <c r="AS39" s="82"/>
    </row>
    <row r="40" spans="1:45">
      <c r="B40" s="26"/>
      <c r="C40" s="26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K40" s="30"/>
      <c r="AL40" s="30"/>
      <c r="AM40" s="30"/>
      <c r="AN40" s="30"/>
      <c r="AO40" s="30"/>
      <c r="AP40" s="30"/>
      <c r="AQ40" s="30"/>
      <c r="AR40" s="30"/>
      <c r="AS40" s="82"/>
    </row>
    <row r="41" spans="1:45" ht="16.5">
      <c r="C41" s="31"/>
      <c r="D41" s="7" t="s">
        <v>20</v>
      </c>
      <c r="E41" s="7" t="s">
        <v>21</v>
      </c>
      <c r="F41" s="7" t="s">
        <v>22</v>
      </c>
      <c r="G41" s="7" t="s">
        <v>23</v>
      </c>
      <c r="H41" s="7" t="s">
        <v>24</v>
      </c>
      <c r="I41" s="7" t="s">
        <v>25</v>
      </c>
      <c r="J41" s="7" t="s">
        <v>26</v>
      </c>
      <c r="K41" s="7" t="s">
        <v>27</v>
      </c>
      <c r="L41" s="7" t="s">
        <v>28</v>
      </c>
      <c r="M41" s="7" t="s">
        <v>29</v>
      </c>
      <c r="N41" s="7" t="s">
        <v>30</v>
      </c>
      <c r="O41" s="7" t="s">
        <v>31</v>
      </c>
      <c r="P41" s="7" t="s">
        <v>32</v>
      </c>
      <c r="Q41" s="7" t="s">
        <v>33</v>
      </c>
      <c r="R41" s="7" t="s">
        <v>34</v>
      </c>
      <c r="S41" s="7" t="s">
        <v>35</v>
      </c>
      <c r="T41" s="7" t="s">
        <v>36</v>
      </c>
      <c r="U41" s="7" t="s">
        <v>183</v>
      </c>
      <c r="V41" s="7" t="s">
        <v>187</v>
      </c>
      <c r="W41" s="7" t="s">
        <v>188</v>
      </c>
      <c r="X41" s="17" t="s">
        <v>189</v>
      </c>
      <c r="Y41" s="17" t="s">
        <v>302</v>
      </c>
      <c r="Z41" s="17" t="s">
        <v>354</v>
      </c>
      <c r="AA41" s="17" t="s">
        <v>355</v>
      </c>
      <c r="AB41" s="17" t="s">
        <v>393</v>
      </c>
      <c r="AC41" s="17" t="s">
        <v>398</v>
      </c>
      <c r="AD41" s="17" t="s">
        <v>428</v>
      </c>
      <c r="AE41" s="17" t="str">
        <f>AE5</f>
        <v>4Q23</v>
      </c>
      <c r="AF41" s="17" t="str">
        <f>AF5</f>
        <v>1Q24</v>
      </c>
      <c r="AG41" s="17" t="s">
        <v>439</v>
      </c>
      <c r="AH41" s="17" t="s">
        <v>442</v>
      </c>
      <c r="AI41" s="17" t="s">
        <v>443</v>
      </c>
      <c r="AK41" s="7">
        <v>2017</v>
      </c>
      <c r="AL41" s="7">
        <v>2018</v>
      </c>
      <c r="AM41" s="7">
        <v>2019</v>
      </c>
      <c r="AN41" s="7">
        <v>2020</v>
      </c>
      <c r="AO41" s="7">
        <v>2021</v>
      </c>
      <c r="AP41" s="7">
        <v>2022</v>
      </c>
      <c r="AQ41" s="7">
        <f>AQ5</f>
        <v>2023</v>
      </c>
      <c r="AR41" s="7"/>
      <c r="AS41" s="82"/>
    </row>
    <row r="42" spans="1:45" ht="16.5">
      <c r="B42" s="59" t="s">
        <v>0</v>
      </c>
      <c r="C42" s="59" t="s">
        <v>0</v>
      </c>
      <c r="D42" s="87">
        <f t="shared" ref="D42:Q42" si="66">D44-D43</f>
        <v>1084.328</v>
      </c>
      <c r="E42" s="87">
        <f t="shared" si="66"/>
        <v>2624.2220000000002</v>
      </c>
      <c r="F42" s="87">
        <f t="shared" si="66"/>
        <v>3191.7309999999998</v>
      </c>
      <c r="G42" s="87">
        <f t="shared" si="66"/>
        <v>2044.0570000000005</v>
      </c>
      <c r="H42" s="87">
        <f t="shared" si="66"/>
        <v>1661.7479999999996</v>
      </c>
      <c r="I42" s="87">
        <f>I44-I43</f>
        <v>3061.751999999999</v>
      </c>
      <c r="J42" s="87">
        <f t="shared" si="66"/>
        <v>3168.4059093699989</v>
      </c>
      <c r="K42" s="87">
        <f t="shared" si="66"/>
        <v>2152.875</v>
      </c>
      <c r="L42" s="87">
        <f t="shared" si="66"/>
        <v>1711.7309999999998</v>
      </c>
      <c r="M42" s="87">
        <f t="shared" si="66"/>
        <v>3517.9949999999999</v>
      </c>
      <c r="N42" s="87">
        <f t="shared" si="66"/>
        <v>4241.8240000000005</v>
      </c>
      <c r="O42" s="87">
        <f t="shared" si="66"/>
        <v>4096.4930000000004</v>
      </c>
      <c r="P42" s="87">
        <f t="shared" si="66"/>
        <v>2239.1189999999988</v>
      </c>
      <c r="Q42" s="87">
        <f t="shared" si="66"/>
        <v>8595.88167520139</v>
      </c>
      <c r="R42" s="87">
        <f t="shared" ref="R42" si="67">R44-R43</f>
        <v>5967.3249999999998</v>
      </c>
      <c r="S42" s="87">
        <f t="shared" ref="S42:Y42" si="68">S44-S43</f>
        <v>4914.918557685779</v>
      </c>
      <c r="T42" s="87">
        <f t="shared" si="68"/>
        <v>4794.7360810125101</v>
      </c>
      <c r="U42" s="87">
        <f t="shared" si="68"/>
        <v>9548.6210234142018</v>
      </c>
      <c r="V42" s="87">
        <f t="shared" si="68"/>
        <v>11644.571321368399</v>
      </c>
      <c r="W42" s="87">
        <f t="shared" si="68"/>
        <v>10646.544071688446</v>
      </c>
      <c r="X42" s="87">
        <f>X44-X43</f>
        <v>7648.7390026522216</v>
      </c>
      <c r="Y42" s="87">
        <f t="shared" si="68"/>
        <v>8009.4460911019605</v>
      </c>
      <c r="Z42" s="87">
        <f>Z44-Z43</f>
        <v>7106.9780542174212</v>
      </c>
      <c r="AA42" s="87">
        <f>AA44-AA43</f>
        <v>1949.4780000000001</v>
      </c>
      <c r="AB42" s="87">
        <f>AB44-AB43</f>
        <v>-430.47458012425295</v>
      </c>
      <c r="AC42" s="87">
        <f>AC44-AC43</f>
        <v>1812.4399530000001</v>
      </c>
      <c r="AD42" s="87">
        <v>2793.7892999999995</v>
      </c>
      <c r="AE42" s="87">
        <f>AE44-AE43</f>
        <v>2244.8952872231102</v>
      </c>
      <c r="AF42" s="87">
        <f>AF44-AF43</f>
        <v>3731.927000000002</v>
      </c>
      <c r="AG42" s="87">
        <f>AG44-AG43</f>
        <v>7032.1911701983499</v>
      </c>
      <c r="AH42" s="87">
        <f>AH44-AH43</f>
        <v>8929.6417149689714</v>
      </c>
      <c r="AI42" s="87">
        <f>AI44-AI43</f>
        <v>7540.9100011435567</v>
      </c>
      <c r="AJ42" s="82"/>
      <c r="AK42" s="87">
        <f t="shared" ref="AK42:AO42" si="69">AK44-AK43</f>
        <v>8944.3379999999997</v>
      </c>
      <c r="AL42" s="87">
        <f t="shared" si="69"/>
        <v>9931.8889093699981</v>
      </c>
      <c r="AM42" s="87">
        <f t="shared" si="69"/>
        <v>13568.043</v>
      </c>
      <c r="AN42" s="87">
        <f t="shared" si="69"/>
        <v>21717.244232887162</v>
      </c>
      <c r="AO42" s="87">
        <f t="shared" si="69"/>
        <v>36634.472497483563</v>
      </c>
      <c r="AP42" s="87">
        <f>AP44-AP43</f>
        <v>24714.641147971604</v>
      </c>
      <c r="AQ42" s="87">
        <f>AQ44-AQ43</f>
        <v>6420.6478440988558</v>
      </c>
      <c r="AR42" s="87">
        <f>AR44-AR43</f>
        <v>27234.669886310872</v>
      </c>
      <c r="AS42" s="82"/>
    </row>
    <row r="43" spans="1:45" ht="16.5">
      <c r="A43" t="s">
        <v>246</v>
      </c>
      <c r="B43" s="34" t="s">
        <v>98</v>
      </c>
      <c r="C43" s="34" t="s">
        <v>246</v>
      </c>
      <c r="D43" s="76">
        <v>1056.2190000000001</v>
      </c>
      <c r="E43" s="76">
        <v>1133.6179999999999</v>
      </c>
      <c r="F43" s="76">
        <v>1127.548</v>
      </c>
      <c r="G43" s="76">
        <v>1154.2839999999994</v>
      </c>
      <c r="H43" s="76">
        <v>1126.739</v>
      </c>
      <c r="I43" s="76">
        <v>1175.8499999999999</v>
      </c>
      <c r="J43" s="76">
        <v>1263.3789999999999</v>
      </c>
      <c r="K43" s="76">
        <v>1239.009</v>
      </c>
      <c r="L43" s="76">
        <v>1479.605</v>
      </c>
      <c r="M43" s="76">
        <v>1580.61</v>
      </c>
      <c r="N43" s="76">
        <v>1679.43</v>
      </c>
      <c r="O43" s="76">
        <v>1573.4169999999999</v>
      </c>
      <c r="P43" s="76">
        <v>1673.5930000000001</v>
      </c>
      <c r="Q43" s="76">
        <v>2015.577</v>
      </c>
      <c r="R43" s="76">
        <v>2028.7619999999999</v>
      </c>
      <c r="S43" s="76">
        <v>2119.4725788106198</v>
      </c>
      <c r="T43" s="76">
        <v>2082.0237033789999</v>
      </c>
      <c r="U43" s="76">
        <v>2157.5479999999998</v>
      </c>
      <c r="V43" s="76">
        <v>2284.5309999999999</v>
      </c>
      <c r="W43" s="76">
        <v>2503.6663053115553</v>
      </c>
      <c r="X43" s="76">
        <v>2436.0515575216878</v>
      </c>
      <c r="Y43" s="76">
        <v>2353.9147655948773</v>
      </c>
      <c r="Z43" s="76">
        <v>2438.8383999927246</v>
      </c>
      <c r="AA43" s="76">
        <v>2625.0219999999999</v>
      </c>
      <c r="AB43" s="76">
        <v>2592.83</v>
      </c>
      <c r="AC43" s="76">
        <v>2657.5410000000002</v>
      </c>
      <c r="AD43" s="76">
        <v>2615.6125000000002</v>
      </c>
      <c r="AE43" s="76">
        <v>2859.4650000000001</v>
      </c>
      <c r="AF43" s="76">
        <f>'Cash Flow - Fluxo de Caixa'!AE8</f>
        <v>2696.922</v>
      </c>
      <c r="AG43" s="76">
        <v>2849.9240558016504</v>
      </c>
      <c r="AH43" s="76">
        <v>3010.2832850310292</v>
      </c>
      <c r="AI43" s="76">
        <v>3248.1309999999999</v>
      </c>
      <c r="AJ43" s="82"/>
      <c r="AK43" s="76">
        <f>SUM(D43:G43)</f>
        <v>4471.6689999999999</v>
      </c>
      <c r="AL43" s="76">
        <f>SUM(H43:K43)</f>
        <v>4804.9769999999999</v>
      </c>
      <c r="AM43" s="76">
        <f>SUM(L43:O43)</f>
        <v>6313.0619999999999</v>
      </c>
      <c r="AN43" s="76">
        <f>SUM(P43:S43)</f>
        <v>7837.4045788106196</v>
      </c>
      <c r="AO43" s="76">
        <f>SUM(T43:W43)</f>
        <v>9027.769008690555</v>
      </c>
      <c r="AP43" s="76">
        <f>SUM(X43:AA43)</f>
        <v>9853.8267231092905</v>
      </c>
      <c r="AQ43" s="76">
        <f>SUM(AB43:AE43)</f>
        <v>10725.4485</v>
      </c>
      <c r="AR43" s="76">
        <f>SUM(AF43:AI43)</f>
        <v>11805.26034083268</v>
      </c>
      <c r="AS43" s="82"/>
    </row>
    <row r="44" spans="1:45" ht="16.5">
      <c r="B44" s="59" t="s">
        <v>1</v>
      </c>
      <c r="C44" s="59" t="s">
        <v>1</v>
      </c>
      <c r="D44" s="87">
        <f>'EBITDA Adj. - EBITDA Ajus.'!D29</f>
        <v>2140.547</v>
      </c>
      <c r="E44" s="87">
        <f>'EBITDA Adj. - EBITDA Ajus.'!E29</f>
        <v>3757.84</v>
      </c>
      <c r="F44" s="87">
        <f>'EBITDA Adj. - EBITDA Ajus.'!F29</f>
        <v>4319.2789999999995</v>
      </c>
      <c r="G44" s="87">
        <f>'EBITDA Adj. - EBITDA Ajus.'!G29</f>
        <v>3198.3409999999999</v>
      </c>
      <c r="H44" s="87">
        <f>'EBITDA Adj. - EBITDA Ajus.'!H29</f>
        <v>2788.4869999999996</v>
      </c>
      <c r="I44" s="87">
        <f>'EBITDA Adj. - EBITDA Ajus.'!I29</f>
        <v>4237.601999999999</v>
      </c>
      <c r="J44" s="87">
        <f>'EBITDA Adj. - EBITDA Ajus.'!J29</f>
        <v>4431.7849093699988</v>
      </c>
      <c r="K44" s="87">
        <f>'EBITDA Adj. - EBITDA Ajus.'!K29</f>
        <v>3391.884</v>
      </c>
      <c r="L44" s="87">
        <f>'EBITDA Adj. - EBITDA Ajus.'!L29</f>
        <v>3191.3359999999998</v>
      </c>
      <c r="M44" s="87">
        <f>'EBITDA Adj. - EBITDA Ajus.'!M29</f>
        <v>5098.6049999999996</v>
      </c>
      <c r="N44" s="87">
        <f>'EBITDA Adj. - EBITDA Ajus.'!N29</f>
        <v>5921.2540000000008</v>
      </c>
      <c r="O44" s="87">
        <f>'EBITDA Adj. - EBITDA Ajus.'!O29</f>
        <v>5669.91</v>
      </c>
      <c r="P44" s="87">
        <f>'EBITDA Adj. - EBITDA Ajus.'!P29</f>
        <v>3912.7119999999991</v>
      </c>
      <c r="Q44" s="87">
        <f>'EBITDA Adj. - EBITDA Ajus.'!Q29</f>
        <v>10611.458675201389</v>
      </c>
      <c r="R44" s="87">
        <f>'EBITDA Adj. - EBITDA Ajus.'!R29</f>
        <v>7996.0869999999995</v>
      </c>
      <c r="S44" s="87">
        <f>'EBITDA Adj. - EBITDA Ajus.'!S29</f>
        <v>7034.3911364963988</v>
      </c>
      <c r="T44" s="87">
        <f>'EBITDA Adj. - EBITDA Ajus.'!T29</f>
        <v>6876.75978439151</v>
      </c>
      <c r="U44" s="87">
        <f>'EBITDA Adj. - EBITDA Ajus.'!U29</f>
        <v>11706.169023414201</v>
      </c>
      <c r="V44" s="87">
        <f>'EBITDA Adj. - EBITDA Ajus.'!V29</f>
        <v>13929.1023213684</v>
      </c>
      <c r="W44" s="87">
        <f>'EBITDA Adj. - EBITDA Ajus.'!W29</f>
        <v>13150.210377000001</v>
      </c>
      <c r="X44" s="87">
        <f>'EBITDA Adj. - EBITDA Ajus.'!X29</f>
        <v>10084.790560173909</v>
      </c>
      <c r="Y44" s="87">
        <f>'EBITDA Adj. - EBITDA Ajus.'!Y29</f>
        <v>10363.360856696838</v>
      </c>
      <c r="Z44" s="87">
        <f>'EBITDA Adj. - EBITDA Ajus.'!Z29</f>
        <v>9545.8164542101458</v>
      </c>
      <c r="AA44" s="87">
        <f>'EBITDA Adj. - EBITDA Ajus.'!AA29</f>
        <v>4574.5</v>
      </c>
      <c r="AB44" s="87">
        <f>'EBITDA Adj. - EBITDA Ajus.'!AB29</f>
        <v>2162.355419875747</v>
      </c>
      <c r="AC44" s="87">
        <f>'EBITDA Adj. - EBITDA Ajus.'!AC29</f>
        <v>4469.9809530000002</v>
      </c>
      <c r="AD44" s="87">
        <v>5409.4017999999996</v>
      </c>
      <c r="AE44" s="87">
        <f>'EBITDA Adj. - EBITDA Ajus.'!AE29</f>
        <v>5104.3602872231104</v>
      </c>
      <c r="AF44" s="87">
        <f>'EBITDA Adj. - EBITDA Ajus.'!AF29</f>
        <v>6428.849000000002</v>
      </c>
      <c r="AG44" s="87">
        <f>'EBITDA Adj. - EBITDA Ajus.'!AG29</f>
        <v>9882.1152259999999</v>
      </c>
      <c r="AH44" s="87">
        <f>'EBITDA Adj. - EBITDA Ajus.'!AH29</f>
        <v>11939.925000000001</v>
      </c>
      <c r="AI44" s="87">
        <f>'EBITDA Adj. - EBITDA Ajus.'!AI29</f>
        <v>10789.041001143556</v>
      </c>
      <c r="AJ44" s="82"/>
      <c r="AK44" s="87">
        <f>'EBITDA Adj. - EBITDA Ajus.'!AK29</f>
        <v>13416.007</v>
      </c>
      <c r="AL44" s="87">
        <f>'EBITDA Adj. - EBITDA Ajus.'!AL29</f>
        <v>14736.865909369999</v>
      </c>
      <c r="AM44" s="87">
        <f>'EBITDA Adj. - EBITDA Ajus.'!AM29</f>
        <v>19881.105</v>
      </c>
      <c r="AN44" s="87">
        <f>'EBITDA Adj. - EBITDA Ajus.'!AN29</f>
        <v>29554.648811697782</v>
      </c>
      <c r="AO44" s="87">
        <f>'EBITDA Adj. - EBITDA Ajus.'!AO29</f>
        <v>45662.241506174119</v>
      </c>
      <c r="AP44" s="87">
        <f>'EBITDA Adj. - EBITDA Ajus.'!AP29</f>
        <v>34568.467871080895</v>
      </c>
      <c r="AQ44" s="87">
        <f>'EBITDA Adj. - EBITDA Ajus.'!AQ29</f>
        <v>17146.096344098856</v>
      </c>
      <c r="AR44" s="87">
        <f>'EBITDA Adj. - EBITDA Ajus.'!AR29</f>
        <v>39039.930227143552</v>
      </c>
      <c r="AS44" s="82"/>
    </row>
    <row r="45" spans="1:45" ht="17.25" thickBot="1">
      <c r="B45" s="59" t="s">
        <v>97</v>
      </c>
      <c r="C45" s="59" t="s">
        <v>237</v>
      </c>
      <c r="D45" s="65">
        <f>IFERROR(D44/D7,0)</f>
        <v>5.6904694001162048E-2</v>
      </c>
      <c r="E45" s="65">
        <f t="shared" ref="E45:Y45" si="70">IFERROR(E44/E7,0)</f>
        <v>9.0170656072243269E-2</v>
      </c>
      <c r="F45" s="65">
        <f t="shared" si="70"/>
        <v>0.10497854920509708</v>
      </c>
      <c r="G45" s="65">
        <f t="shared" si="70"/>
        <v>7.4842168424287286E-2</v>
      </c>
      <c r="H45" s="65">
        <f t="shared" si="70"/>
        <v>7.0092160372113299E-2</v>
      </c>
      <c r="I45" s="65">
        <f t="shared" si="70"/>
        <v>9.3802987035798424E-2</v>
      </c>
      <c r="J45" s="65">
        <f t="shared" si="70"/>
        <v>8.9707136906758703E-2</v>
      </c>
      <c r="K45" s="65">
        <f t="shared" si="70"/>
        <v>7.1681644000340244E-2</v>
      </c>
      <c r="L45" s="65">
        <f t="shared" si="70"/>
        <v>7.1925000332429337E-2</v>
      </c>
      <c r="M45" s="65">
        <f t="shared" si="70"/>
        <v>0.1002826245840648</v>
      </c>
      <c r="N45" s="65">
        <f t="shared" si="70"/>
        <v>0.11346788157366398</v>
      </c>
      <c r="O45" s="65">
        <f t="shared" si="70"/>
        <v>9.9251867111298742E-2</v>
      </c>
      <c r="P45" s="65">
        <f t="shared" si="70"/>
        <v>6.9274369712638034E-2</v>
      </c>
      <c r="Q45" s="65">
        <f t="shared" si="70"/>
        <v>0.1570152830658752</v>
      </c>
      <c r="R45" s="65">
        <f t="shared" si="70"/>
        <v>0.11409762729459517</v>
      </c>
      <c r="S45" s="65">
        <f t="shared" si="70"/>
        <v>9.248548899907684E-2</v>
      </c>
      <c r="T45" s="65">
        <f t="shared" si="70"/>
        <v>9.1384032938729445E-2</v>
      </c>
      <c r="U45" s="65">
        <f t="shared" si="70"/>
        <v>0.13671130605229126</v>
      </c>
      <c r="V45" s="65">
        <f t="shared" si="70"/>
        <v>0.15038115519742021</v>
      </c>
      <c r="W45" s="65">
        <f t="shared" si="70"/>
        <v>0.13530122970490874</v>
      </c>
      <c r="X45" s="65">
        <f t="shared" si="70"/>
        <v>0.11098460332793567</v>
      </c>
      <c r="Y45" s="65">
        <f t="shared" si="70"/>
        <v>0.1124113804852464</v>
      </c>
      <c r="Z45" s="65">
        <f>IFERROR(Z44/Z7,0)</f>
        <v>9.6492411702465503E-2</v>
      </c>
      <c r="AA45" s="65">
        <f>IFERROR(AA44/AA7,0)</f>
        <v>4.9259420763268509E-2</v>
      </c>
      <c r="AB45" s="65">
        <f>IFERROR(AB44/AB7,0)</f>
        <v>2.4945343778135651E-2</v>
      </c>
      <c r="AC45" s="65">
        <v>5.0009502998406945E-2</v>
      </c>
      <c r="AD45" s="65">
        <v>5.9177699586992427E-2</v>
      </c>
      <c r="AE45" s="65">
        <f>IFERROR(AE44/AE7,0)</f>
        <v>5.2982380224060724E-2</v>
      </c>
      <c r="AF45" s="65">
        <f>IFERROR(AF44/AF7,0)</f>
        <v>7.2115032830946335E-2</v>
      </c>
      <c r="AG45" s="65">
        <f>IFERROR(AG44/AG7,0)</f>
        <v>9.8225649437718887E-2</v>
      </c>
      <c r="AH45" s="65">
        <f>IFERROR(AH44/AH7,0)</f>
        <v>0.10805571550586723</v>
      </c>
      <c r="AI45" s="65">
        <f>IFERROR(AI44/AI7,0)</f>
        <v>9.2450490299732416E-2</v>
      </c>
      <c r="AK45" s="65">
        <f t="shared" ref="AK45" si="71">IFERROR(AK44/AK7,0)</f>
        <v>8.2221048980817127E-2</v>
      </c>
      <c r="AL45" s="65">
        <f t="shared" ref="AL45" si="72">IFERROR(AL44/AL7,0)</f>
        <v>8.1114300514534748E-2</v>
      </c>
      <c r="AM45" s="65">
        <f t="shared" ref="AM45" si="73">IFERROR(AM44/AM7,0)</f>
        <v>9.7206911232604845E-2</v>
      </c>
      <c r="AN45" s="65">
        <f t="shared" ref="AN45" si="74">IFERROR(AN44/AN7,0)</f>
        <v>0.10937893467622893</v>
      </c>
      <c r="AO45" s="65">
        <f t="shared" ref="AO45" si="75">IFERROR(AO44/AO7,0)</f>
        <v>0.13020478895133242</v>
      </c>
      <c r="AP45" s="65">
        <f>IFERROR(AP44/AP7,0)</f>
        <v>9.2219075151555696E-2</v>
      </c>
      <c r="AQ45" s="65">
        <f>IFERROR(AQ44/AQ7,0)</f>
        <v>4.7128413912913628E-2</v>
      </c>
      <c r="AR45" s="65">
        <f>IFERROR(AR44/AR7,0)</f>
        <v>9.3631713098582384E-2</v>
      </c>
      <c r="AS45" s="82"/>
    </row>
    <row r="46" spans="1:45" ht="15.75" thickTop="1">
      <c r="AS46" s="82"/>
    </row>
    <row r="69" spans="19:44"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K69" s="32"/>
      <c r="AL69" s="32"/>
      <c r="AM69" s="32"/>
      <c r="AN69" s="32"/>
      <c r="AO69" s="32"/>
      <c r="AP69" s="32"/>
      <c r="AQ69" s="32"/>
      <c r="AR69" s="32"/>
    </row>
    <row r="70" spans="19:44" ht="16.5"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K70" s="13"/>
      <c r="AL70" s="13"/>
      <c r="AM70" s="13"/>
      <c r="AN70" s="13"/>
      <c r="AO70" s="13"/>
      <c r="AP70" s="13"/>
      <c r="AQ70" s="13"/>
      <c r="AR70" s="13"/>
    </row>
  </sheetData>
  <pageMargins left="0.511811024" right="0.511811024" top="0.78740157499999996" bottom="0.78740157499999996" header="0.31496062000000002" footer="0.31496062000000002"/>
  <pageSetup paperSize="9" scale="59" orientation="landscape" r:id="rId1"/>
  <ignoredErrors>
    <ignoredError sqref="AK38:AN38 AK32:AP33 AK43:AN43 AK7:AO9 AK10:AP10 AK29:AO29 AK16:AP16 AK11:AP12 AK13:AP14 AK15:AO15 AK18:AP18 AK17:AO17 AK22:AP22 AK19:AP20 AK21:AO21 AK24:AP24 AK23:AO23 AK26:AP26 AK25:AO25 AK28:AP28 AK27:AP27 AK31:AO31 AK35:AP35 AK34:AP34 AP7:AP8 AQ7:AR22 AQ38:AR45 AP43 AO38:AP42 AO44:AP45 AO43 AQ24:AR37 AP23:AR23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>
    <tabColor rgb="FF0070C0"/>
    <pageSetUpPr fitToPage="1"/>
  </sheetPr>
  <dimension ref="A1:AS100"/>
  <sheetViews>
    <sheetView showGridLines="0" zoomScale="70" zoomScaleNormal="70" workbookViewId="0">
      <pane xSplit="2" ySplit="5" topLeftCell="C6" activePane="bottomRight" state="frozen"/>
      <selection pane="topRight" activeCell="D1" sqref="D1"/>
      <selection pane="bottomLeft" activeCell="A6" sqref="A6"/>
      <selection pane="bottomRight"/>
    </sheetView>
  </sheetViews>
  <sheetFormatPr defaultColWidth="8.85546875" defaultRowHeight="15" outlineLevelCol="1"/>
  <cols>
    <col min="1" max="1" width="50.5703125" customWidth="1" outlineLevel="1"/>
    <col min="2" max="2" width="50.5703125" customWidth="1"/>
    <col min="3" max="19" width="14.140625" hidden="1" customWidth="1" outlineLevel="1"/>
    <col min="20" max="22" width="14.140625" hidden="1" customWidth="1" outlineLevel="1" collapsed="1"/>
    <col min="23" max="27" width="14.140625" customWidth="1" collapsed="1"/>
    <col min="28" max="29" width="14.140625" customWidth="1"/>
    <col min="30" max="34" width="14.140625" customWidth="1" collapsed="1"/>
    <col min="35" max="35" width="3.5703125" customWidth="1"/>
    <col min="36" max="39" width="14.140625" hidden="1" customWidth="1" outlineLevel="1" collapsed="1"/>
    <col min="40" max="43" width="14.140625" customWidth="1" collapsed="1"/>
    <col min="44" max="105" width="14.140625" customWidth="1"/>
  </cols>
  <sheetData>
    <row r="1" spans="1:44" ht="1.5" customHeight="1"/>
    <row r="2" spans="1:44" ht="60" customHeight="1">
      <c r="D2" s="82"/>
      <c r="E2" s="107"/>
      <c r="F2" s="102"/>
      <c r="AD2" s="140"/>
      <c r="AE2" s="140"/>
      <c r="AF2" s="140"/>
      <c r="AG2" s="140"/>
      <c r="AH2" s="140"/>
    </row>
    <row r="3" spans="1:44" ht="3" customHeight="1"/>
    <row r="4" spans="1:44" s="4" customFormat="1" ht="16.5">
      <c r="A4" s="2" t="s">
        <v>350</v>
      </c>
      <c r="B4" s="2" t="s">
        <v>289</v>
      </c>
      <c r="G4" s="3"/>
    </row>
    <row r="5" spans="1:44" s="4" customFormat="1" ht="16.5">
      <c r="A5" s="6" t="s">
        <v>107</v>
      </c>
      <c r="B5" s="6" t="s">
        <v>247</v>
      </c>
      <c r="C5" s="7" t="s">
        <v>20</v>
      </c>
      <c r="D5" s="8" t="s">
        <v>21</v>
      </c>
      <c r="E5" s="7" t="s">
        <v>22</v>
      </c>
      <c r="F5" s="7" t="s">
        <v>23</v>
      </c>
      <c r="G5" s="7" t="s">
        <v>24</v>
      </c>
      <c r="H5" s="8" t="s">
        <v>25</v>
      </c>
      <c r="I5" s="8" t="s">
        <v>26</v>
      </c>
      <c r="J5" s="8" t="s">
        <v>27</v>
      </c>
      <c r="K5" s="8" t="s">
        <v>28</v>
      </c>
      <c r="L5" s="8" t="s">
        <v>29</v>
      </c>
      <c r="M5" s="8" t="s">
        <v>30</v>
      </c>
      <c r="N5" s="8" t="s">
        <v>31</v>
      </c>
      <c r="O5" s="8" t="s">
        <v>32</v>
      </c>
      <c r="P5" s="8" t="s">
        <v>33</v>
      </c>
      <c r="Q5" s="8" t="s">
        <v>34</v>
      </c>
      <c r="R5" s="17" t="s">
        <v>35</v>
      </c>
      <c r="S5" s="17" t="s">
        <v>36</v>
      </c>
      <c r="T5" s="17" t="s">
        <v>183</v>
      </c>
      <c r="U5" s="17" t="s">
        <v>187</v>
      </c>
      <c r="V5" s="17" t="s">
        <v>188</v>
      </c>
      <c r="W5" s="17" t="s">
        <v>189</v>
      </c>
      <c r="X5" s="17" t="s">
        <v>302</v>
      </c>
      <c r="Y5" s="17" t="s">
        <v>354</v>
      </c>
      <c r="Z5" s="17" t="s">
        <v>355</v>
      </c>
      <c r="AA5" s="17" t="s">
        <v>393</v>
      </c>
      <c r="AB5" s="17" t="s">
        <v>398</v>
      </c>
      <c r="AC5" s="17" t="s">
        <v>428</v>
      </c>
      <c r="AD5" s="17" t="s">
        <v>435</v>
      </c>
      <c r="AE5" s="17" t="s">
        <v>438</v>
      </c>
      <c r="AF5" s="17" t="s">
        <v>439</v>
      </c>
      <c r="AG5" s="17" t="s">
        <v>442</v>
      </c>
      <c r="AH5" s="17" t="s">
        <v>443</v>
      </c>
      <c r="AJ5" s="7">
        <v>2017</v>
      </c>
      <c r="AK5" s="7">
        <v>2018</v>
      </c>
      <c r="AL5" s="7">
        <v>2019</v>
      </c>
      <c r="AM5" s="7">
        <v>2020</v>
      </c>
      <c r="AN5" s="7">
        <v>2021</v>
      </c>
      <c r="AO5" s="7">
        <v>2022</v>
      </c>
      <c r="AP5" s="7">
        <v>2023</v>
      </c>
      <c r="AQ5" s="7">
        <v>2024</v>
      </c>
    </row>
    <row r="6" spans="1:44" s="4" customFormat="1" ht="16.5">
      <c r="A6" s="57" t="s">
        <v>108</v>
      </c>
      <c r="B6" s="57" t="s">
        <v>248</v>
      </c>
      <c r="C6" s="87">
        <v>416.93200000000002</v>
      </c>
      <c r="D6" s="87">
        <v>474.79500000000002</v>
      </c>
      <c r="E6" s="87">
        <v>478.88499999999999</v>
      </c>
      <c r="F6" s="87">
        <v>-345.14100000000002</v>
      </c>
      <c r="G6" s="87">
        <v>588.18799999999999</v>
      </c>
      <c r="H6" s="87">
        <v>-826.89300000000003</v>
      </c>
      <c r="I6" s="87">
        <v>-101.735</v>
      </c>
      <c r="J6" s="87">
        <v>550.55600000000004</v>
      </c>
      <c r="K6" s="87">
        <v>1168.4369999999999</v>
      </c>
      <c r="L6" s="87">
        <v>2328.9459999999999</v>
      </c>
      <c r="M6" s="87">
        <v>454.01499999999999</v>
      </c>
      <c r="N6" s="87">
        <v>2513.4569999999999</v>
      </c>
      <c r="O6" s="87">
        <v>-5887.0910000000003</v>
      </c>
      <c r="P6" s="87">
        <v>3346.6239999999998</v>
      </c>
      <c r="Q6" s="87">
        <v>3172.232</v>
      </c>
      <c r="R6" s="87">
        <v>4023.1858949999987</v>
      </c>
      <c r="S6" s="87">
        <f>'Income Statement - DRE'!T36</f>
        <v>2155.5790000000002</v>
      </c>
      <c r="T6" s="87">
        <f>'Income Statement - DRE'!U36</f>
        <v>4208.1550000000007</v>
      </c>
      <c r="U6" s="87">
        <f>'Income Statement - DRE'!V36</f>
        <v>7649.91</v>
      </c>
      <c r="V6" s="87">
        <f>'Income Statement - DRE'!W36</f>
        <v>6516.01</v>
      </c>
      <c r="W6" s="87">
        <f>'Income Statement - DRE'!X36</f>
        <v>5438.8180000000002</v>
      </c>
      <c r="X6" s="87">
        <f>'Income Statement - DRE'!Y36</f>
        <v>4284.0749999999998</v>
      </c>
      <c r="Y6" s="87">
        <f>'Income Statement - DRE'!Z36</f>
        <v>4263.9360000000006</v>
      </c>
      <c r="Z6" s="87">
        <f>'Income Statement - DRE'!AA36</f>
        <v>2214.4250000000002</v>
      </c>
      <c r="AA6" s="87">
        <v>-1429.501</v>
      </c>
      <c r="AB6" s="87">
        <v>-198.167</v>
      </c>
      <c r="AC6" s="87">
        <v>690.60599999999999</v>
      </c>
      <c r="AD6" s="87">
        <v>207.917</v>
      </c>
      <c r="AE6" s="87">
        <v>1807.124</v>
      </c>
      <c r="AF6" s="87">
        <v>2023.046</v>
      </c>
      <c r="AG6" s="87">
        <v>4195.6779999999999</v>
      </c>
      <c r="AH6" s="87">
        <v>2678.1460000000002</v>
      </c>
      <c r="AJ6" s="87">
        <f>SUM(C6:F6)</f>
        <v>1025.471</v>
      </c>
      <c r="AK6" s="87">
        <f>SUM(G6:J6)</f>
        <v>210.11599999999999</v>
      </c>
      <c r="AL6" s="87">
        <f>SUM(K6:N6)</f>
        <v>6464.8549999999996</v>
      </c>
      <c r="AM6" s="87">
        <f>SUM(O6:R6)</f>
        <v>4654.9508949999981</v>
      </c>
      <c r="AN6" s="87">
        <f>SUM(S6:V6)</f>
        <v>20529.654000000002</v>
      </c>
      <c r="AO6" s="87">
        <f>SUM(W6:Z6)</f>
        <v>16201.254000000001</v>
      </c>
      <c r="AP6" s="87">
        <f>SUM(AA6:AD6)</f>
        <v>-729.14499999999987</v>
      </c>
      <c r="AQ6" s="87">
        <f>SUM(AE6:AH6)</f>
        <v>10703.994000000001</v>
      </c>
    </row>
    <row r="7" spans="1:44" s="9" customFormat="1" ht="16.5">
      <c r="A7" s="9" t="s">
        <v>102</v>
      </c>
      <c r="B7" s="54" t="s">
        <v>230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>
        <v>0</v>
      </c>
      <c r="AJ7" s="76"/>
      <c r="AK7" s="76"/>
      <c r="AL7" s="76"/>
      <c r="AM7" s="76"/>
      <c r="AN7" s="76"/>
      <c r="AO7" s="76"/>
      <c r="AP7" s="76"/>
      <c r="AQ7" s="76"/>
    </row>
    <row r="8" spans="1:44" s="9" customFormat="1" ht="16.5">
      <c r="A8" s="34" t="s">
        <v>98</v>
      </c>
      <c r="B8" s="55" t="s">
        <v>246</v>
      </c>
      <c r="C8" s="76">
        <v>1056.2190000000001</v>
      </c>
      <c r="D8" s="76">
        <v>1133.6179999999999</v>
      </c>
      <c r="E8" s="76">
        <v>1127.548</v>
      </c>
      <c r="F8" s="76">
        <v>1154.2840000000001</v>
      </c>
      <c r="G8" s="76">
        <v>1126.739</v>
      </c>
      <c r="H8" s="76">
        <v>1175.8499999999999</v>
      </c>
      <c r="I8" s="76">
        <v>1263.3789999999999</v>
      </c>
      <c r="J8" s="76">
        <v>1239.009</v>
      </c>
      <c r="K8" s="76">
        <v>1479.605</v>
      </c>
      <c r="L8" s="76">
        <v>1580.61</v>
      </c>
      <c r="M8" s="76">
        <v>1679.43</v>
      </c>
      <c r="N8" s="76">
        <v>1573.4169999999999</v>
      </c>
      <c r="O8" s="76">
        <v>1673.5930000000001</v>
      </c>
      <c r="P8" s="76">
        <v>2015.577</v>
      </c>
      <c r="Q8" s="76">
        <v>2028.7619999999999</v>
      </c>
      <c r="R8" s="76">
        <v>2119.473</v>
      </c>
      <c r="S8" s="76">
        <v>2082.0239999999999</v>
      </c>
      <c r="T8" s="76">
        <v>2157.5479999999998</v>
      </c>
      <c r="U8" s="76">
        <v>2284.5309999999999</v>
      </c>
      <c r="V8" s="76">
        <v>2503.6669999999999</v>
      </c>
      <c r="W8" s="76">
        <v>2436.0529999999999</v>
      </c>
      <c r="X8" s="76">
        <v>2353.915</v>
      </c>
      <c r="Y8" s="76">
        <v>2438.8389999999999</v>
      </c>
      <c r="Z8" s="76">
        <v>2625.0219999999999</v>
      </c>
      <c r="AA8" s="76">
        <v>2592.83</v>
      </c>
      <c r="AB8" s="76">
        <v>2657.5410000000002</v>
      </c>
      <c r="AC8" s="76">
        <v>2615.6129999999998</v>
      </c>
      <c r="AD8" s="76">
        <v>2859.4650000000001</v>
      </c>
      <c r="AE8" s="76">
        <v>2696.922</v>
      </c>
      <c r="AF8" s="76">
        <v>2849.924</v>
      </c>
      <c r="AG8" s="76">
        <v>3010.2829999999999</v>
      </c>
      <c r="AH8" s="76">
        <v>3248.1309999999999</v>
      </c>
      <c r="AJ8" s="76">
        <f t="shared" ref="AJ8:AJ22" si="0">SUM(C8:F8)</f>
        <v>4471.6689999999999</v>
      </c>
      <c r="AK8" s="76">
        <f t="shared" ref="AK8:AK22" si="1">SUM(G8:J8)</f>
        <v>4804.9769999999999</v>
      </c>
      <c r="AL8" s="76">
        <f t="shared" ref="AL8:AL22" si="2">SUM(K8:N8)</f>
        <v>6313.0619999999999</v>
      </c>
      <c r="AM8" s="76">
        <f t="shared" ref="AM8:AM22" si="3">SUM(O8:R8)</f>
        <v>7837.4049999999997</v>
      </c>
      <c r="AN8" s="76">
        <f t="shared" ref="AN8:AN22" si="4">SUM(S8:V8)</f>
        <v>9027.77</v>
      </c>
      <c r="AO8" s="76">
        <f t="shared" ref="AO8:AO26" si="5">SUM(W8:Z8)</f>
        <v>9853.8289999999997</v>
      </c>
      <c r="AP8" s="76">
        <f t="shared" ref="AP8:AP26" si="6">SUM(AA8:AD8)</f>
        <v>10725.449000000001</v>
      </c>
      <c r="AQ8" s="76">
        <f>SUM(AE8:AH8)</f>
        <v>11805.259999999998</v>
      </c>
    </row>
    <row r="9" spans="1:44" s="9" customFormat="1" ht="16.5">
      <c r="A9" s="34" t="s">
        <v>109</v>
      </c>
      <c r="B9" s="55" t="s">
        <v>328</v>
      </c>
      <c r="C9" s="76">
        <v>8.8480000000000008</v>
      </c>
      <c r="D9" s="76">
        <v>11.733000000000001</v>
      </c>
      <c r="E9" s="76">
        <v>-7.907</v>
      </c>
      <c r="F9" s="76">
        <v>77.685000000000002</v>
      </c>
      <c r="G9" s="76">
        <v>59.506999999999998</v>
      </c>
      <c r="H9" s="76">
        <v>85.7</v>
      </c>
      <c r="I9" s="76">
        <v>7.8040000000000003</v>
      </c>
      <c r="J9" s="76">
        <v>86.766999999999996</v>
      </c>
      <c r="K9" s="76">
        <v>42.107999999999997</v>
      </c>
      <c r="L9" s="76">
        <v>-11.009</v>
      </c>
      <c r="M9" s="76">
        <v>11.443</v>
      </c>
      <c r="N9" s="76">
        <v>28.181000000000001</v>
      </c>
      <c r="O9" s="76">
        <v>19.923999999999999</v>
      </c>
      <c r="P9" s="76">
        <f>9.925-1.071</f>
        <v>8.854000000000001</v>
      </c>
      <c r="Q9" s="76">
        <v>-2.3130000000000002</v>
      </c>
      <c r="R9" s="76">
        <v>6.7080000000000002</v>
      </c>
      <c r="S9" s="76">
        <v>14.3</v>
      </c>
      <c r="T9" s="76">
        <v>18.933</v>
      </c>
      <c r="U9" s="76">
        <v>18.809000000000001</v>
      </c>
      <c r="V9" s="76">
        <v>13.417999999999999</v>
      </c>
      <c r="W9" s="76">
        <v>24.273</v>
      </c>
      <c r="X9" s="76">
        <v>16.949000000000002</v>
      </c>
      <c r="Y9" s="76">
        <v>34.049999999999997</v>
      </c>
      <c r="Z9" s="76">
        <v>-28.055</v>
      </c>
      <c r="AA9" s="76">
        <v>23.28</v>
      </c>
      <c r="AB9" s="76">
        <v>9.2460000000000004</v>
      </c>
      <c r="AC9" s="76">
        <v>16.548999999999999</v>
      </c>
      <c r="AD9" s="76">
        <v>0.82399999999999995</v>
      </c>
      <c r="AE9" s="76">
        <v>22.637</v>
      </c>
      <c r="AF9" s="76">
        <v>8.6319999999999997</v>
      </c>
      <c r="AG9" s="76">
        <v>16.056999999999999</v>
      </c>
      <c r="AH9" s="76">
        <v>21.824999999999999</v>
      </c>
      <c r="AJ9" s="76">
        <f t="shared" si="0"/>
        <v>90.359000000000009</v>
      </c>
      <c r="AK9" s="76">
        <f t="shared" si="1"/>
        <v>239.77799999999999</v>
      </c>
      <c r="AL9" s="76">
        <f t="shared" si="2"/>
        <v>70.722999999999999</v>
      </c>
      <c r="AM9" s="76">
        <f t="shared" si="3"/>
        <v>33.173000000000002</v>
      </c>
      <c r="AN9" s="76">
        <f t="shared" si="4"/>
        <v>65.460000000000008</v>
      </c>
      <c r="AO9" s="76">
        <f t="shared" si="5"/>
        <v>47.216999999999992</v>
      </c>
      <c r="AP9" s="76">
        <f t="shared" si="6"/>
        <v>49.899000000000001</v>
      </c>
      <c r="AQ9" s="76">
        <f>SUM(AE9:AH9)</f>
        <v>69.150999999999996</v>
      </c>
    </row>
    <row r="10" spans="1:44" s="9" customFormat="1" ht="16.5">
      <c r="A10" s="34" t="s">
        <v>110</v>
      </c>
      <c r="B10" s="55" t="s">
        <v>249</v>
      </c>
      <c r="C10" s="76">
        <v>-1.8149999999999999</v>
      </c>
      <c r="D10" s="76">
        <v>-6.109</v>
      </c>
      <c r="E10" s="76">
        <v>-9.2750000000000004</v>
      </c>
      <c r="F10" s="76">
        <v>-1.431</v>
      </c>
      <c r="G10" s="76">
        <v>-7.05</v>
      </c>
      <c r="H10" s="76">
        <v>-9.1440000000000001</v>
      </c>
      <c r="I10" s="76">
        <v>-5.6740000000000004</v>
      </c>
      <c r="J10" s="76">
        <v>-4.5869999999999997</v>
      </c>
      <c r="K10" s="76">
        <v>-7.3979999999999997</v>
      </c>
      <c r="L10" s="76">
        <v>-7.0039999999999996</v>
      </c>
      <c r="M10" s="76">
        <v>-12.443</v>
      </c>
      <c r="N10" s="76">
        <v>-7.3220000000000001</v>
      </c>
      <c r="O10" s="76">
        <v>-13.105</v>
      </c>
      <c r="P10" s="76">
        <v>-4.9290000000000003</v>
      </c>
      <c r="Q10" s="76">
        <v>-21.916</v>
      </c>
      <c r="R10" s="76">
        <v>-13.529</v>
      </c>
      <c r="S10" s="76">
        <v>-26.710999999999999</v>
      </c>
      <c r="T10" s="76">
        <v>-12.169</v>
      </c>
      <c r="U10" s="76">
        <v>-32.606000000000002</v>
      </c>
      <c r="V10" s="76">
        <v>-21.024999999999999</v>
      </c>
      <c r="W10" s="76">
        <v>-15.161</v>
      </c>
      <c r="X10" s="76">
        <v>-20.866</v>
      </c>
      <c r="Y10" s="76">
        <v>-14.801</v>
      </c>
      <c r="Z10" s="76">
        <v>-9.6859999999999999</v>
      </c>
      <c r="AA10" s="76">
        <v>-14.417999999999999</v>
      </c>
      <c r="AB10" s="76">
        <v>-15.007999999999999</v>
      </c>
      <c r="AC10" s="76">
        <v>-19.661000000000001</v>
      </c>
      <c r="AD10" s="76">
        <v>1.48</v>
      </c>
      <c r="AE10" s="76">
        <v>32.353000000000002</v>
      </c>
      <c r="AF10" s="76">
        <v>-12.54</v>
      </c>
      <c r="AG10" s="76">
        <v>-21.611000000000001</v>
      </c>
      <c r="AH10" s="76">
        <v>-18.553999999999998</v>
      </c>
      <c r="AJ10" s="76">
        <f t="shared" si="0"/>
        <v>-18.63</v>
      </c>
      <c r="AK10" s="76">
        <f t="shared" si="1"/>
        <v>-26.454999999999998</v>
      </c>
      <c r="AL10" s="76">
        <f t="shared" si="2"/>
        <v>-34.167000000000002</v>
      </c>
      <c r="AM10" s="76">
        <f t="shared" si="3"/>
        <v>-53.478999999999999</v>
      </c>
      <c r="AN10" s="76">
        <f t="shared" si="4"/>
        <v>-92.510999999999996</v>
      </c>
      <c r="AO10" s="76">
        <f t="shared" si="5"/>
        <v>-60.514000000000003</v>
      </c>
      <c r="AP10" s="76">
        <f t="shared" si="6"/>
        <v>-47.607000000000006</v>
      </c>
      <c r="AQ10" s="76">
        <f>SUM(AE10:AH10)</f>
        <v>-20.351999999999997</v>
      </c>
    </row>
    <row r="11" spans="1:44" s="9" customFormat="1" ht="16.5">
      <c r="A11" s="34" t="s">
        <v>111</v>
      </c>
      <c r="B11" s="55" t="s">
        <v>329</v>
      </c>
      <c r="C11" s="76">
        <v>5.5990000000000002</v>
      </c>
      <c r="D11" s="76">
        <v>3.74</v>
      </c>
      <c r="E11" s="76">
        <v>17.878</v>
      </c>
      <c r="F11" s="76">
        <v>8.9600000000000009</v>
      </c>
      <c r="G11" s="76">
        <v>4.8540000000000001</v>
      </c>
      <c r="H11" s="76">
        <v>12.314</v>
      </c>
      <c r="I11" s="76">
        <v>-1.0669999999999999</v>
      </c>
      <c r="J11" s="76">
        <v>-0.432</v>
      </c>
      <c r="K11" s="76">
        <v>-5.5860000000000003</v>
      </c>
      <c r="L11" s="76">
        <v>9.3670000000000009</v>
      </c>
      <c r="M11" s="76">
        <v>-14.439</v>
      </c>
      <c r="N11" s="76">
        <v>-9.1940000000000008</v>
      </c>
      <c r="O11" s="76">
        <v>0.67900000000000005</v>
      </c>
      <c r="P11" s="76">
        <v>-11.621</v>
      </c>
      <c r="Q11" s="76">
        <v>-27.466999999999999</v>
      </c>
      <c r="R11" s="76">
        <v>-3.1970000000000001</v>
      </c>
      <c r="S11" s="76">
        <v>-16.797999999999998</v>
      </c>
      <c r="T11" s="76">
        <v>-18.571000000000002</v>
      </c>
      <c r="U11" s="76">
        <v>-3.266</v>
      </c>
      <c r="V11" s="76">
        <v>11.885</v>
      </c>
      <c r="W11" s="76">
        <v>4.5119999999999996</v>
      </c>
      <c r="X11" s="76">
        <v>0.20899999999999999</v>
      </c>
      <c r="Y11" s="76">
        <v>-37.252000000000002</v>
      </c>
      <c r="Z11" s="76">
        <v>-66.350999999999999</v>
      </c>
      <c r="AA11" s="76">
        <v>-55.509</v>
      </c>
      <c r="AB11" s="76">
        <v>14.738</v>
      </c>
      <c r="AC11" s="76">
        <v>7.8849999999999998</v>
      </c>
      <c r="AD11" s="76">
        <v>-39.33</v>
      </c>
      <c r="AE11" s="76">
        <v>-26.047999999999998</v>
      </c>
      <c r="AF11" s="76">
        <v>2.6920000000000002</v>
      </c>
      <c r="AG11" s="76">
        <v>0.76300000000000001</v>
      </c>
      <c r="AH11" s="76">
        <v>-24.835999999999999</v>
      </c>
      <c r="AJ11" s="76">
        <f t="shared" si="0"/>
        <v>36.177</v>
      </c>
      <c r="AK11" s="76">
        <f t="shared" si="1"/>
        <v>15.668999999999999</v>
      </c>
      <c r="AL11" s="76">
        <f t="shared" si="2"/>
        <v>-19.852</v>
      </c>
      <c r="AM11" s="76">
        <f t="shared" si="3"/>
        <v>-41.606000000000002</v>
      </c>
      <c r="AN11" s="76">
        <f t="shared" si="4"/>
        <v>-26.75</v>
      </c>
      <c r="AO11" s="76">
        <f t="shared" si="5"/>
        <v>-98.882000000000005</v>
      </c>
      <c r="AP11" s="76">
        <f t="shared" si="6"/>
        <v>-72.216000000000008</v>
      </c>
      <c r="AQ11" s="76">
        <f>SUM(AE11:AH11)</f>
        <v>-47.428999999999995</v>
      </c>
    </row>
    <row r="12" spans="1:44" s="9" customFormat="1" ht="16.5">
      <c r="A12" s="34" t="s">
        <v>112</v>
      </c>
      <c r="B12" s="55" t="s">
        <v>250</v>
      </c>
      <c r="C12" s="76">
        <v>223.81</v>
      </c>
      <c r="D12" s="76">
        <v>-55.326000000000001</v>
      </c>
      <c r="E12" s="76">
        <v>-124.333</v>
      </c>
      <c r="F12" s="76">
        <v>82.137</v>
      </c>
      <c r="G12" s="76">
        <v>-120.399</v>
      </c>
      <c r="H12" s="76">
        <v>-958.63800000000003</v>
      </c>
      <c r="I12" s="76">
        <v>-1012.4930000000001</v>
      </c>
      <c r="J12" s="76">
        <v>783.05600000000004</v>
      </c>
      <c r="K12" s="76">
        <v>-784.15099999999995</v>
      </c>
      <c r="L12" s="76">
        <v>466.41300000000001</v>
      </c>
      <c r="M12" s="76">
        <v>87.77</v>
      </c>
      <c r="N12" s="76">
        <v>1262.914</v>
      </c>
      <c r="O12" s="76">
        <v>-899.10299999999995</v>
      </c>
      <c r="P12" s="76">
        <v>1868.585</v>
      </c>
      <c r="Q12" s="76">
        <v>804.66</v>
      </c>
      <c r="R12" s="76">
        <v>1835.1010000000001</v>
      </c>
      <c r="S12" s="76">
        <v>1326.6579999999999</v>
      </c>
      <c r="T12" s="76">
        <v>2039.4359999999999</v>
      </c>
      <c r="U12" s="76">
        <v>2167.0059999999999</v>
      </c>
      <c r="V12" s="76">
        <v>1128.6990000000001</v>
      </c>
      <c r="W12" s="76">
        <v>1774.2950000000001</v>
      </c>
      <c r="X12" s="76">
        <v>922.45399999999995</v>
      </c>
      <c r="Y12" s="76">
        <v>1247.2929999999999</v>
      </c>
      <c r="Z12" s="76">
        <v>-1861.432</v>
      </c>
      <c r="AA12" s="76">
        <v>-719.38199999999995</v>
      </c>
      <c r="AB12" s="76">
        <v>70.075999999999993</v>
      </c>
      <c r="AC12" s="76">
        <v>100.429</v>
      </c>
      <c r="AD12" s="76">
        <v>-120.06100000000001</v>
      </c>
      <c r="AE12" s="76">
        <v>13.836</v>
      </c>
      <c r="AF12" s="76">
        <v>778.33699999999999</v>
      </c>
      <c r="AG12" s="76">
        <v>2442.8339999999998</v>
      </c>
      <c r="AH12" s="76">
        <v>881.62800000000004</v>
      </c>
      <c r="AJ12" s="76">
        <f t="shared" si="0"/>
        <v>126.28800000000001</v>
      </c>
      <c r="AK12" s="76">
        <f t="shared" si="1"/>
        <v>-1308.4740000000002</v>
      </c>
      <c r="AL12" s="76">
        <f t="shared" si="2"/>
        <v>1032.9459999999999</v>
      </c>
      <c r="AM12" s="76">
        <f t="shared" si="3"/>
        <v>3609.2430000000004</v>
      </c>
      <c r="AN12" s="76">
        <f t="shared" si="4"/>
        <v>6661.7990000000009</v>
      </c>
      <c r="AO12" s="76">
        <f t="shared" si="5"/>
        <v>2082.6099999999997</v>
      </c>
      <c r="AP12" s="76">
        <f t="shared" si="6"/>
        <v>-668.93799999999999</v>
      </c>
      <c r="AQ12" s="76">
        <f t="shared" ref="AQ12:AQ30" si="7">SUM(AE12:AH12)</f>
        <v>4116.6349999999993</v>
      </c>
    </row>
    <row r="13" spans="1:44" s="9" customFormat="1" ht="16.5">
      <c r="A13" s="34" t="s">
        <v>113</v>
      </c>
      <c r="B13" s="55" t="s">
        <v>330</v>
      </c>
      <c r="C13" s="76">
        <v>410.76400000000001</v>
      </c>
      <c r="D13" s="76">
        <v>2210.8209999999999</v>
      </c>
      <c r="E13" s="76">
        <v>898.47299999999996</v>
      </c>
      <c r="F13" s="76">
        <v>2075.268</v>
      </c>
      <c r="G13" s="76">
        <v>1108.1310000000001</v>
      </c>
      <c r="H13" s="76">
        <v>4718.1180000000004</v>
      </c>
      <c r="I13" s="76">
        <v>1891.241</v>
      </c>
      <c r="J13" s="76">
        <v>564.73</v>
      </c>
      <c r="K13" s="76">
        <v>1326.6859999999999</v>
      </c>
      <c r="L13" s="76">
        <v>697.60299999999995</v>
      </c>
      <c r="M13" s="76">
        <v>3700.4769999999999</v>
      </c>
      <c r="N13" s="76">
        <v>260.31299999999999</v>
      </c>
      <c r="O13" s="76">
        <v>9087.3829999999998</v>
      </c>
      <c r="P13" s="76">
        <v>3229.5210000000002</v>
      </c>
      <c r="Q13" s="76">
        <v>1069.7439999999999</v>
      </c>
      <c r="R13" s="76">
        <v>-1147.7449999999999</v>
      </c>
      <c r="S13" s="76">
        <v>1172.7360000000001</v>
      </c>
      <c r="T13" s="76">
        <v>1145.9469999999999</v>
      </c>
      <c r="U13" s="76">
        <v>1107.6880000000001</v>
      </c>
      <c r="V13" s="76">
        <v>1652.28</v>
      </c>
      <c r="W13" s="76">
        <v>210.07300000000001</v>
      </c>
      <c r="X13" s="76">
        <v>2512.2130000000002</v>
      </c>
      <c r="Y13" s="76">
        <v>1496.298</v>
      </c>
      <c r="Z13" s="76">
        <v>2133.7559999999999</v>
      </c>
      <c r="AA13" s="76">
        <v>1554.0989999999999</v>
      </c>
      <c r="AB13" s="76">
        <v>1667.8820000000001</v>
      </c>
      <c r="AC13" s="76">
        <v>1839.1379999999999</v>
      </c>
      <c r="AD13" s="76">
        <v>1686.865</v>
      </c>
      <c r="AE13" s="76">
        <v>1727.3240000000001</v>
      </c>
      <c r="AF13" s="76">
        <v>3128.2289999999998</v>
      </c>
      <c r="AG13" s="76">
        <v>2002.395</v>
      </c>
      <c r="AH13" s="76">
        <v>2105.192</v>
      </c>
      <c r="AJ13" s="76">
        <f t="shared" si="0"/>
        <v>5595.326</v>
      </c>
      <c r="AK13" s="76">
        <f t="shared" si="1"/>
        <v>8282.2200000000012</v>
      </c>
      <c r="AL13" s="76">
        <f t="shared" si="2"/>
        <v>5985.0789999999997</v>
      </c>
      <c r="AM13" s="76">
        <f t="shared" si="3"/>
        <v>12238.903000000002</v>
      </c>
      <c r="AN13" s="76">
        <f t="shared" si="4"/>
        <v>5078.6509999999998</v>
      </c>
      <c r="AO13" s="76">
        <f t="shared" si="5"/>
        <v>6352.34</v>
      </c>
      <c r="AP13" s="76">
        <f t="shared" si="6"/>
        <v>6747.9839999999995</v>
      </c>
      <c r="AQ13" s="76">
        <f t="shared" si="7"/>
        <v>8963.14</v>
      </c>
    </row>
    <row r="14" spans="1:44" s="9" customFormat="1" ht="16.5">
      <c r="A14" s="34" t="s">
        <v>114</v>
      </c>
      <c r="B14" s="55" t="s">
        <v>331</v>
      </c>
      <c r="C14" s="76">
        <v>54.6</v>
      </c>
      <c r="D14" s="76">
        <v>12.074999999999999</v>
      </c>
      <c r="E14" s="76">
        <v>14.959</v>
      </c>
      <c r="F14" s="76">
        <f>38.514+2.5</f>
        <v>41.014000000000003</v>
      </c>
      <c r="G14" s="76">
        <v>7.9390000000000001</v>
      </c>
      <c r="H14" s="76">
        <v>11.363</v>
      </c>
      <c r="I14" s="76">
        <v>40.185000000000002</v>
      </c>
      <c r="J14" s="76">
        <v>58.618000000000002</v>
      </c>
      <c r="K14" s="76">
        <v>7.7770000000000001</v>
      </c>
      <c r="L14" s="76">
        <v>21.402999999999999</v>
      </c>
      <c r="M14" s="76">
        <v>5.8920000000000003</v>
      </c>
      <c r="N14" s="76">
        <v>14.12</v>
      </c>
      <c r="O14" s="76">
        <v>-0.16700000000000001</v>
      </c>
      <c r="P14" s="76">
        <v>15.041</v>
      </c>
      <c r="Q14" s="76">
        <v>-25.600999999999999</v>
      </c>
      <c r="R14" s="76">
        <v>5.4770000000000003</v>
      </c>
      <c r="S14" s="76">
        <v>11.653</v>
      </c>
      <c r="T14" s="76">
        <v>17.012</v>
      </c>
      <c r="U14" s="76">
        <v>16.690000000000001</v>
      </c>
      <c r="V14" s="76">
        <v>18.071000000000002</v>
      </c>
      <c r="W14" s="76">
        <v>11.801</v>
      </c>
      <c r="X14" s="76">
        <v>12.282</v>
      </c>
      <c r="Y14" s="76">
        <v>9.1809999999999992</v>
      </c>
      <c r="Z14" s="76">
        <v>5.8609999999999998</v>
      </c>
      <c r="AA14" s="76">
        <v>7.5419999999999998</v>
      </c>
      <c r="AB14" s="76">
        <v>12.180999999999999</v>
      </c>
      <c r="AC14" s="76">
        <v>11.606999999999999</v>
      </c>
      <c r="AD14" s="76">
        <v>3.0880000000000001</v>
      </c>
      <c r="AE14" s="76">
        <v>23.5</v>
      </c>
      <c r="AF14" s="76">
        <v>13.749000000000001</v>
      </c>
      <c r="AG14" s="76">
        <v>15.02</v>
      </c>
      <c r="AH14" s="76">
        <v>33.332000000000001</v>
      </c>
      <c r="AJ14" s="76">
        <f t="shared" si="0"/>
        <v>122.648</v>
      </c>
      <c r="AK14" s="76">
        <f t="shared" si="1"/>
        <v>118.105</v>
      </c>
      <c r="AL14" s="76">
        <f t="shared" si="2"/>
        <v>49.192</v>
      </c>
      <c r="AM14" s="76">
        <f t="shared" si="3"/>
        <v>-5.2499999999999982</v>
      </c>
      <c r="AN14" s="76">
        <f t="shared" si="4"/>
        <v>63.426000000000002</v>
      </c>
      <c r="AO14" s="76">
        <f t="shared" si="5"/>
        <v>39.124999999999993</v>
      </c>
      <c r="AP14" s="76">
        <f t="shared" si="6"/>
        <v>34.417999999999999</v>
      </c>
      <c r="AQ14" s="76">
        <f t="shared" si="7"/>
        <v>85.600999999999999</v>
      </c>
    </row>
    <row r="15" spans="1:44" s="9" customFormat="1" ht="16.5">
      <c r="A15" s="34" t="s">
        <v>60</v>
      </c>
      <c r="B15" s="55" t="s">
        <v>219</v>
      </c>
      <c r="C15" s="76">
        <v>42.445</v>
      </c>
      <c r="D15" s="76">
        <v>127.116</v>
      </c>
      <c r="E15" s="76">
        <v>43.966999999999999</v>
      </c>
      <c r="F15" s="76">
        <v>19.893000000000001</v>
      </c>
      <c r="G15" s="76">
        <v>-138.59100000000001</v>
      </c>
      <c r="H15" s="76">
        <v>66.897000000000006</v>
      </c>
      <c r="I15" s="76">
        <v>60.813000000000002</v>
      </c>
      <c r="J15" s="76">
        <v>95.465000000000003</v>
      </c>
      <c r="K15" s="76">
        <v>107.282</v>
      </c>
      <c r="L15" s="76">
        <v>118.16500000000001</v>
      </c>
      <c r="M15" s="76">
        <v>142.44999999999999</v>
      </c>
      <c r="N15" s="76">
        <v>59.917999999999999</v>
      </c>
      <c r="O15" s="76">
        <v>77.997</v>
      </c>
      <c r="P15" s="76">
        <v>59.933999999999997</v>
      </c>
      <c r="Q15" s="76">
        <v>124.116</v>
      </c>
      <c r="R15" s="76">
        <v>78.406000000000006</v>
      </c>
      <c r="S15" s="76">
        <v>27.654</v>
      </c>
      <c r="T15" s="76">
        <v>87.626000000000005</v>
      </c>
      <c r="U15" s="76">
        <v>65.039000000000001</v>
      </c>
      <c r="V15" s="76">
        <v>69.864000000000004</v>
      </c>
      <c r="W15" s="76">
        <v>23.533000000000001</v>
      </c>
      <c r="X15" s="76">
        <v>64.900999999999996</v>
      </c>
      <c r="Y15" s="76">
        <v>35.646000000000001</v>
      </c>
      <c r="Z15" s="76">
        <v>101.429</v>
      </c>
      <c r="AA15" s="76">
        <v>107.999</v>
      </c>
      <c r="AB15" s="76">
        <v>108.63</v>
      </c>
      <c r="AC15" s="76">
        <v>213.08099999999999</v>
      </c>
      <c r="AD15" s="76">
        <v>97.716999999999999</v>
      </c>
      <c r="AE15" s="76">
        <v>70.852999999999994</v>
      </c>
      <c r="AF15" s="76">
        <v>38.488</v>
      </c>
      <c r="AG15" s="76">
        <v>52.654000000000003</v>
      </c>
      <c r="AH15" s="76">
        <v>93.789000000000001</v>
      </c>
      <c r="AJ15" s="76">
        <f t="shared" si="0"/>
        <v>233.42100000000002</v>
      </c>
      <c r="AK15" s="76">
        <f t="shared" si="1"/>
        <v>84.584000000000003</v>
      </c>
      <c r="AL15" s="76">
        <f t="shared" si="2"/>
        <v>427.815</v>
      </c>
      <c r="AM15" s="76">
        <f t="shared" si="3"/>
        <v>340.45299999999997</v>
      </c>
      <c r="AN15" s="76">
        <f t="shared" si="4"/>
        <v>250.18300000000002</v>
      </c>
      <c r="AO15" s="76">
        <f t="shared" si="5"/>
        <v>225.50900000000001</v>
      </c>
      <c r="AP15" s="76">
        <f t="shared" si="6"/>
        <v>527.42700000000002</v>
      </c>
      <c r="AQ15" s="76">
        <f t="shared" si="7"/>
        <v>255.78399999999999</v>
      </c>
      <c r="AR15" s="157"/>
    </row>
    <row r="16" spans="1:44" s="9" customFormat="1" ht="16.5">
      <c r="A16" s="34" t="s">
        <v>452</v>
      </c>
      <c r="B16" t="s">
        <v>436</v>
      </c>
      <c r="C16" s="76">
        <v>0</v>
      </c>
      <c r="D16" s="76">
        <v>-41.845999999999997</v>
      </c>
      <c r="E16" s="76">
        <v>4.9710000000000001</v>
      </c>
      <c r="F16" s="76">
        <v>2.1949999999999998</v>
      </c>
      <c r="G16" s="76">
        <v>52.762999999999998</v>
      </c>
      <c r="H16" s="76">
        <v>0.36799999999999999</v>
      </c>
      <c r="I16" s="76">
        <v>1.2310000000000001</v>
      </c>
      <c r="J16" s="76">
        <v>102.10299999999999</v>
      </c>
      <c r="K16" s="76">
        <v>4.2309999999999999</v>
      </c>
      <c r="L16" s="76">
        <v>0</v>
      </c>
      <c r="M16" s="76">
        <v>0</v>
      </c>
      <c r="N16" s="76">
        <v>-2.819</v>
      </c>
      <c r="O16" s="76">
        <v>19.87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  <c r="U16" s="76">
        <v>0</v>
      </c>
      <c r="V16" s="106">
        <v>0</v>
      </c>
      <c r="W16" s="138">
        <f>85601/10^3</f>
        <v>85.600999999999999</v>
      </c>
      <c r="X16" s="106">
        <v>0</v>
      </c>
      <c r="Y16" s="106">
        <v>0</v>
      </c>
      <c r="Z16" s="106">
        <v>18.707000000000001</v>
      </c>
      <c r="AA16" s="106">
        <v>107.51300000000001</v>
      </c>
      <c r="AB16" s="106">
        <v>18.428999999999998</v>
      </c>
      <c r="AC16" s="106">
        <v>1.9470000000000001</v>
      </c>
      <c r="AD16" s="106">
        <v>26.908000000000001</v>
      </c>
      <c r="AE16" s="76">
        <v>0</v>
      </c>
      <c r="AF16" s="76">
        <v>69.971000000000004</v>
      </c>
      <c r="AG16" s="76">
        <v>73.316000000000003</v>
      </c>
      <c r="AH16" s="76">
        <v>9.5289999999999999</v>
      </c>
      <c r="AI16" s="131"/>
      <c r="AJ16" s="106">
        <f t="shared" si="0"/>
        <v>-34.68</v>
      </c>
      <c r="AK16" s="106">
        <f t="shared" si="1"/>
        <v>156.465</v>
      </c>
      <c r="AL16" s="106">
        <f t="shared" si="2"/>
        <v>1.4119999999999999</v>
      </c>
      <c r="AM16" s="106">
        <f t="shared" si="3"/>
        <v>19.87</v>
      </c>
      <c r="AN16" s="106">
        <f t="shared" si="4"/>
        <v>0</v>
      </c>
      <c r="AO16" s="106">
        <f t="shared" si="5"/>
        <v>104.30799999999999</v>
      </c>
      <c r="AP16" s="76">
        <f t="shared" si="6"/>
        <v>154.79700000000003</v>
      </c>
      <c r="AQ16" s="76">
        <f t="shared" si="7"/>
        <v>152.816</v>
      </c>
    </row>
    <row r="17" spans="1:45" s="9" customFormat="1" ht="16.5">
      <c r="A17" s="34" t="s">
        <v>115</v>
      </c>
      <c r="B17" s="55" t="s">
        <v>251</v>
      </c>
      <c r="C17" s="76">
        <v>0</v>
      </c>
      <c r="D17" s="76">
        <v>0</v>
      </c>
      <c r="E17" s="76">
        <v>109.568</v>
      </c>
      <c r="F17" s="76">
        <v>-272.33</v>
      </c>
      <c r="G17" s="76">
        <v>3.86</v>
      </c>
      <c r="H17" s="76">
        <v>1.0780000000000001</v>
      </c>
      <c r="I17" s="76">
        <v>6.6840000000000002</v>
      </c>
      <c r="J17" s="76">
        <v>57.036000000000001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  <c r="R17" s="76">
        <v>0</v>
      </c>
      <c r="S17" s="76">
        <v>0</v>
      </c>
      <c r="T17" s="76">
        <v>0</v>
      </c>
      <c r="U17" s="76">
        <v>0</v>
      </c>
      <c r="V17" s="76">
        <v>0</v>
      </c>
      <c r="W17" s="76">
        <v>0</v>
      </c>
      <c r="X17" s="76">
        <v>0</v>
      </c>
      <c r="Y17" s="76">
        <v>0</v>
      </c>
      <c r="Z17" s="76">
        <v>0</v>
      </c>
      <c r="AA17" s="76">
        <v>0</v>
      </c>
      <c r="AB17" s="76">
        <v>0</v>
      </c>
      <c r="AC17" s="76">
        <v>0</v>
      </c>
      <c r="AD17" s="76">
        <v>0</v>
      </c>
      <c r="AE17" s="76">
        <v>0</v>
      </c>
      <c r="AF17" s="76">
        <v>0</v>
      </c>
      <c r="AG17" s="76">
        <v>0</v>
      </c>
      <c r="AH17" s="76">
        <v>0</v>
      </c>
      <c r="AJ17" s="76">
        <f t="shared" si="0"/>
        <v>-162.762</v>
      </c>
      <c r="AK17" s="76">
        <f t="shared" si="1"/>
        <v>68.658000000000001</v>
      </c>
      <c r="AL17" s="76">
        <f t="shared" si="2"/>
        <v>0</v>
      </c>
      <c r="AM17" s="76">
        <f t="shared" si="3"/>
        <v>0</v>
      </c>
      <c r="AN17" s="76">
        <f t="shared" si="4"/>
        <v>0</v>
      </c>
      <c r="AO17" s="76">
        <f t="shared" si="5"/>
        <v>0</v>
      </c>
      <c r="AP17" s="76">
        <f t="shared" si="6"/>
        <v>0</v>
      </c>
      <c r="AQ17" s="76">
        <f t="shared" si="7"/>
        <v>0</v>
      </c>
    </row>
    <row r="18" spans="1:45" s="9" customFormat="1" ht="16.5">
      <c r="A18" s="34" t="s">
        <v>116</v>
      </c>
      <c r="B18" s="55" t="s">
        <v>252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8.7590000000000003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  <c r="U18" s="76">
        <v>0</v>
      </c>
      <c r="V18" s="76">
        <v>0</v>
      </c>
      <c r="W18" s="76">
        <v>0</v>
      </c>
      <c r="X18" s="76">
        <v>0</v>
      </c>
      <c r="Y18" s="76">
        <v>0</v>
      </c>
      <c r="Z18" s="76">
        <v>0</v>
      </c>
      <c r="AA18" s="76">
        <v>0</v>
      </c>
      <c r="AB18" s="76">
        <v>0</v>
      </c>
      <c r="AC18" s="76">
        <v>0</v>
      </c>
      <c r="AD18" s="76">
        <v>0</v>
      </c>
      <c r="AE18" s="76">
        <v>0</v>
      </c>
      <c r="AF18" s="76">
        <v>0</v>
      </c>
      <c r="AG18" s="76">
        <v>0</v>
      </c>
      <c r="AH18" s="76">
        <v>0</v>
      </c>
      <c r="AJ18" s="76">
        <f t="shared" si="0"/>
        <v>0</v>
      </c>
      <c r="AK18" s="76">
        <f t="shared" si="1"/>
        <v>0</v>
      </c>
      <c r="AL18" s="76">
        <f t="shared" si="2"/>
        <v>8.7590000000000003</v>
      </c>
      <c r="AM18" s="76">
        <f t="shared" si="3"/>
        <v>0</v>
      </c>
      <c r="AN18" s="76">
        <f t="shared" si="4"/>
        <v>0</v>
      </c>
      <c r="AO18" s="76">
        <f t="shared" si="5"/>
        <v>0</v>
      </c>
      <c r="AP18" s="76">
        <f t="shared" si="6"/>
        <v>0</v>
      </c>
      <c r="AQ18" s="76">
        <f t="shared" si="7"/>
        <v>0</v>
      </c>
    </row>
    <row r="19" spans="1:45" s="9" customFormat="1" ht="16.5">
      <c r="A19" s="34" t="s">
        <v>117</v>
      </c>
      <c r="B19" s="55" t="s">
        <v>253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10.792999999999999</v>
      </c>
      <c r="R19" s="76">
        <v>4.7450000000000001</v>
      </c>
      <c r="S19" s="76">
        <v>0</v>
      </c>
      <c r="T19" s="76">
        <v>0</v>
      </c>
      <c r="U19" s="76">
        <v>0</v>
      </c>
      <c r="V19" s="76">
        <v>0</v>
      </c>
      <c r="W19" s="76">
        <v>0</v>
      </c>
      <c r="X19" s="76">
        <v>0</v>
      </c>
      <c r="Y19" s="76">
        <v>0</v>
      </c>
      <c r="Z19" s="76">
        <v>-266.23500000000001</v>
      </c>
      <c r="AA19" s="76">
        <v>0</v>
      </c>
      <c r="AB19" s="76">
        <v>0</v>
      </c>
      <c r="AC19" s="76">
        <v>0</v>
      </c>
      <c r="AD19" s="76">
        <v>0</v>
      </c>
      <c r="AE19" s="76">
        <v>0</v>
      </c>
      <c r="AF19" s="76">
        <v>0</v>
      </c>
      <c r="AG19" s="76">
        <v>0</v>
      </c>
      <c r="AH19" s="76">
        <v>0</v>
      </c>
      <c r="AJ19" s="76">
        <f t="shared" si="0"/>
        <v>0</v>
      </c>
      <c r="AK19" s="76">
        <f t="shared" si="1"/>
        <v>0</v>
      </c>
      <c r="AL19" s="76">
        <f t="shared" si="2"/>
        <v>0</v>
      </c>
      <c r="AM19" s="76">
        <f t="shared" si="3"/>
        <v>15.538</v>
      </c>
      <c r="AN19" s="76">
        <f t="shared" si="4"/>
        <v>0</v>
      </c>
      <c r="AO19" s="76">
        <f t="shared" si="5"/>
        <v>-266.23500000000001</v>
      </c>
      <c r="AP19" s="76">
        <f t="shared" si="6"/>
        <v>0</v>
      </c>
      <c r="AQ19" s="76">
        <f t="shared" si="7"/>
        <v>0</v>
      </c>
    </row>
    <row r="20" spans="1:45" s="9" customFormat="1" ht="16.5">
      <c r="A20" s="158" t="s">
        <v>456</v>
      </c>
      <c r="B20" s="55" t="s">
        <v>392</v>
      </c>
      <c r="C20" s="76">
        <v>0</v>
      </c>
      <c r="D20" s="76">
        <v>0</v>
      </c>
      <c r="E20" s="76">
        <v>0</v>
      </c>
      <c r="F20" s="76">
        <v>0</v>
      </c>
      <c r="G20" s="76">
        <v>37.856999999999999</v>
      </c>
      <c r="H20" s="76">
        <v>-9.2999999999999999E-2</v>
      </c>
      <c r="I20" s="76">
        <v>-19.57</v>
      </c>
      <c r="J20" s="76">
        <v>41.173000000000002</v>
      </c>
      <c r="K20" s="76">
        <v>8.1069999999999993</v>
      </c>
      <c r="L20" s="76">
        <v>24.324999999999999</v>
      </c>
      <c r="M20" s="76">
        <v>-62.228999999999999</v>
      </c>
      <c r="N20" s="76">
        <v>-30.818000000000001</v>
      </c>
      <c r="O20" s="76">
        <v>-25.13</v>
      </c>
      <c r="P20" s="76">
        <v>29.635000000000002</v>
      </c>
      <c r="Q20" s="76">
        <v>-24.029</v>
      </c>
      <c r="R20" s="76">
        <v>44.957999999999998</v>
      </c>
      <c r="S20" s="76">
        <v>7.52</v>
      </c>
      <c r="T20" s="76">
        <v>9.1639999999999997</v>
      </c>
      <c r="U20" s="76">
        <v>-31.561</v>
      </c>
      <c r="V20" s="76">
        <v>73.731999999999999</v>
      </c>
      <c r="W20" s="76">
        <v>14.742000000000001</v>
      </c>
      <c r="X20" s="76">
        <v>13.202</v>
      </c>
      <c r="Y20" s="76">
        <v>-29.82</v>
      </c>
      <c r="Z20" s="76">
        <v>70.138999999999996</v>
      </c>
      <c r="AA20" s="76">
        <v>-10.204000000000001</v>
      </c>
      <c r="AB20" s="76">
        <v>-4.42</v>
      </c>
      <c r="AC20" s="76">
        <v>-73.256</v>
      </c>
      <c r="AD20" s="76">
        <v>58.293999999999997</v>
      </c>
      <c r="AE20" s="76">
        <v>-44.356000000000002</v>
      </c>
      <c r="AF20" s="76">
        <v>-23.692</v>
      </c>
      <c r="AG20" s="76">
        <v>123.755</v>
      </c>
      <c r="AH20" s="76">
        <v>30.01</v>
      </c>
      <c r="AJ20" s="76">
        <f t="shared" si="0"/>
        <v>0</v>
      </c>
      <c r="AK20" s="76">
        <f t="shared" si="1"/>
        <v>59.366999999999997</v>
      </c>
      <c r="AL20" s="76">
        <f t="shared" si="2"/>
        <v>-60.614999999999995</v>
      </c>
      <c r="AM20" s="76">
        <f t="shared" si="3"/>
        <v>25.434000000000001</v>
      </c>
      <c r="AN20" s="76">
        <f t="shared" si="4"/>
        <v>58.854999999999997</v>
      </c>
      <c r="AO20" s="76">
        <f t="shared" si="5"/>
        <v>68.263000000000005</v>
      </c>
      <c r="AP20" s="76">
        <f t="shared" si="6"/>
        <v>-29.585999999999999</v>
      </c>
      <c r="AQ20" s="76">
        <f t="shared" si="7"/>
        <v>85.716999999999999</v>
      </c>
    </row>
    <row r="21" spans="1:45" s="9" customFormat="1" ht="16.5">
      <c r="A21" s="34" t="s">
        <v>118</v>
      </c>
      <c r="B21" s="55" t="s">
        <v>254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  <c r="U21" s="76">
        <v>0</v>
      </c>
      <c r="V21" s="76">
        <v>0</v>
      </c>
      <c r="W21" s="76">
        <v>0</v>
      </c>
      <c r="X21" s="76">
        <v>0</v>
      </c>
      <c r="Y21" s="76">
        <v>0</v>
      </c>
      <c r="Z21" s="76">
        <v>0</v>
      </c>
      <c r="AA21" s="76">
        <v>0</v>
      </c>
      <c r="AB21" s="76">
        <v>0</v>
      </c>
      <c r="AC21" s="76">
        <v>0</v>
      </c>
      <c r="AD21" s="76">
        <v>0</v>
      </c>
      <c r="AE21" s="76">
        <v>0</v>
      </c>
      <c r="AF21" s="76">
        <v>0</v>
      </c>
      <c r="AG21" s="76">
        <v>0</v>
      </c>
      <c r="AH21" s="76">
        <v>0</v>
      </c>
      <c r="AJ21" s="76">
        <f t="shared" si="0"/>
        <v>0</v>
      </c>
      <c r="AK21" s="76">
        <f t="shared" si="1"/>
        <v>0</v>
      </c>
      <c r="AL21" s="76">
        <f t="shared" si="2"/>
        <v>0</v>
      </c>
      <c r="AM21" s="76">
        <f t="shared" si="3"/>
        <v>0</v>
      </c>
      <c r="AN21" s="76">
        <f t="shared" si="4"/>
        <v>0</v>
      </c>
      <c r="AO21" s="76">
        <f t="shared" si="5"/>
        <v>0</v>
      </c>
      <c r="AP21" s="76">
        <f t="shared" si="6"/>
        <v>0</v>
      </c>
      <c r="AQ21" s="76">
        <f t="shared" si="7"/>
        <v>0</v>
      </c>
    </row>
    <row r="22" spans="1:45" s="9" customFormat="1" ht="16.5">
      <c r="A22" s="34" t="s">
        <v>105</v>
      </c>
      <c r="B22" s="55" t="s">
        <v>231</v>
      </c>
      <c r="C22" s="76">
        <v>0</v>
      </c>
      <c r="D22" s="76">
        <v>0</v>
      </c>
      <c r="E22" s="76">
        <v>1839.808</v>
      </c>
      <c r="F22" s="76">
        <v>388.58808294000033</v>
      </c>
      <c r="G22" s="76">
        <v>21.69</v>
      </c>
      <c r="H22" s="76">
        <v>0</v>
      </c>
      <c r="I22" s="76">
        <v>2395.5509999999999</v>
      </c>
      <c r="J22" s="76">
        <v>58.048999999999999</v>
      </c>
      <c r="K22" s="76">
        <v>0</v>
      </c>
      <c r="L22" s="76">
        <v>0</v>
      </c>
      <c r="M22" s="76">
        <v>0</v>
      </c>
      <c r="N22" s="76">
        <v>288.10500000000002</v>
      </c>
      <c r="O22" s="76">
        <v>0</v>
      </c>
      <c r="P22" s="76">
        <v>0</v>
      </c>
      <c r="Q22" s="76">
        <v>0</v>
      </c>
      <c r="R22" s="76">
        <v>0</v>
      </c>
      <c r="S22" s="76">
        <v>0</v>
      </c>
      <c r="T22" s="76">
        <v>0</v>
      </c>
      <c r="U22" s="76">
        <v>0</v>
      </c>
      <c r="V22" s="76">
        <v>0</v>
      </c>
      <c r="W22" s="76">
        <v>0</v>
      </c>
      <c r="X22" s="76">
        <v>0</v>
      </c>
      <c r="Y22" s="76">
        <v>0</v>
      </c>
      <c r="Z22" s="76">
        <v>0</v>
      </c>
      <c r="AA22" s="76">
        <v>0</v>
      </c>
      <c r="AB22" s="76">
        <v>0</v>
      </c>
      <c r="AC22" s="76">
        <v>0</v>
      </c>
      <c r="AD22" s="76">
        <v>0</v>
      </c>
      <c r="AE22" s="76">
        <v>0</v>
      </c>
      <c r="AF22" s="76">
        <v>0</v>
      </c>
      <c r="AG22" s="76">
        <v>0</v>
      </c>
      <c r="AH22" s="76">
        <v>0</v>
      </c>
      <c r="AJ22" s="76">
        <f t="shared" si="0"/>
        <v>2228.3960829400003</v>
      </c>
      <c r="AK22" s="106">
        <f t="shared" si="1"/>
        <v>2475.29</v>
      </c>
      <c r="AL22" s="76">
        <f t="shared" si="2"/>
        <v>288.10500000000002</v>
      </c>
      <c r="AM22" s="76">
        <f t="shared" si="3"/>
        <v>0</v>
      </c>
      <c r="AN22" s="76">
        <f t="shared" si="4"/>
        <v>0</v>
      </c>
      <c r="AO22" s="76">
        <f t="shared" si="5"/>
        <v>0</v>
      </c>
      <c r="AP22" s="76">
        <f t="shared" si="6"/>
        <v>0</v>
      </c>
      <c r="AQ22" s="76">
        <f t="shared" si="7"/>
        <v>0</v>
      </c>
    </row>
    <row r="23" spans="1:45" s="9" customFormat="1" ht="16.5">
      <c r="A23" s="34" t="s">
        <v>457</v>
      </c>
      <c r="B23" s="55" t="s">
        <v>391</v>
      </c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>
        <v>-543.16499999999996</v>
      </c>
      <c r="AA23" s="76">
        <v>0</v>
      </c>
      <c r="AB23" s="76">
        <v>0</v>
      </c>
      <c r="AC23" s="76">
        <v>0</v>
      </c>
      <c r="AD23" s="76">
        <v>0</v>
      </c>
      <c r="AE23" s="76">
        <v>0</v>
      </c>
      <c r="AF23" s="76">
        <v>0</v>
      </c>
      <c r="AG23" s="76">
        <v>0</v>
      </c>
      <c r="AH23" s="76">
        <v>0</v>
      </c>
      <c r="AJ23" s="76"/>
      <c r="AK23" s="106"/>
      <c r="AL23" s="76"/>
      <c r="AM23" s="76"/>
      <c r="AN23" s="76"/>
      <c r="AO23" s="76">
        <f t="shared" si="5"/>
        <v>-543.16499999999996</v>
      </c>
      <c r="AP23" s="76">
        <f t="shared" si="6"/>
        <v>0</v>
      </c>
      <c r="AQ23" s="76">
        <f t="shared" si="7"/>
        <v>0</v>
      </c>
    </row>
    <row r="24" spans="1:45" s="9" customFormat="1" ht="16.5">
      <c r="A24" s="34" t="s">
        <v>119</v>
      </c>
      <c r="B24" s="55" t="s">
        <v>255</v>
      </c>
      <c r="C24" s="76">
        <v>0</v>
      </c>
      <c r="D24" s="76">
        <v>0</v>
      </c>
      <c r="E24" s="76">
        <v>0</v>
      </c>
      <c r="F24" s="76">
        <v>0</v>
      </c>
      <c r="G24" s="76">
        <f>-31.956*0</f>
        <v>0</v>
      </c>
      <c r="H24" s="76">
        <f>-110.122*0</f>
        <v>0</v>
      </c>
      <c r="I24" s="76">
        <f>159.778*0</f>
        <v>0</v>
      </c>
      <c r="J24" s="76">
        <f>-159.778*0</f>
        <v>0</v>
      </c>
      <c r="K24" s="76">
        <v>-211.875</v>
      </c>
      <c r="L24" s="76">
        <v>185.07300000000001</v>
      </c>
      <c r="M24" s="76">
        <v>-135.999</v>
      </c>
      <c r="N24" s="76">
        <v>-129.113</v>
      </c>
      <c r="O24" s="76">
        <v>243.35599999999999</v>
      </c>
      <c r="P24" s="76">
        <v>21.666</v>
      </c>
      <c r="Q24" s="76">
        <v>-175.066</v>
      </c>
      <c r="R24" s="76">
        <v>68.046999999999997</v>
      </c>
      <c r="S24" s="76">
        <v>-45.008000000000003</v>
      </c>
      <c r="T24" s="76">
        <v>230.41499999999999</v>
      </c>
      <c r="U24" s="76">
        <v>167.36500000000001</v>
      </c>
      <c r="V24" s="76">
        <v>-178.15600000000001</v>
      </c>
      <c r="W24" s="76">
        <v>-75.167000000000002</v>
      </c>
      <c r="X24" s="76">
        <v>228.07900000000001</v>
      </c>
      <c r="Y24" s="76">
        <v>-17.623000000000001</v>
      </c>
      <c r="Z24" s="76">
        <v>-340.23700000000002</v>
      </c>
      <c r="AA24" s="76">
        <v>452.92399999999998</v>
      </c>
      <c r="AB24" s="76">
        <v>13.595000000000001</v>
      </c>
      <c r="AC24" s="76">
        <v>-47.264000000000003</v>
      </c>
      <c r="AD24" s="76">
        <v>23.585999999999999</v>
      </c>
      <c r="AE24" s="76">
        <v>-574.02200000000005</v>
      </c>
      <c r="AF24" s="76">
        <v>448.72500000000002</v>
      </c>
      <c r="AG24" s="76">
        <v>-144.64400000000001</v>
      </c>
      <c r="AH24" s="76">
        <v>-599.65599999999995</v>
      </c>
      <c r="AJ24" s="76">
        <f>SUM(C24:F24)</f>
        <v>0</v>
      </c>
      <c r="AK24" s="106">
        <f>SUM(G24:J24)</f>
        <v>0</v>
      </c>
      <c r="AL24" s="76">
        <f>SUM(K24:N24)</f>
        <v>-291.91399999999999</v>
      </c>
      <c r="AM24" s="76">
        <f>SUM(O24:R24)</f>
        <v>158.00299999999999</v>
      </c>
      <c r="AN24" s="76">
        <f>SUM(S24:V24)</f>
        <v>174.61599999999999</v>
      </c>
      <c r="AO24" s="76">
        <f t="shared" si="5"/>
        <v>-204.94800000000001</v>
      </c>
      <c r="AP24" s="76">
        <f t="shared" si="6"/>
        <v>442.84100000000001</v>
      </c>
      <c r="AQ24" s="76">
        <f t="shared" si="7"/>
        <v>-869.59699999999998</v>
      </c>
    </row>
    <row r="25" spans="1:45" s="9" customFormat="1" ht="16.5">
      <c r="A25" s="34" t="s">
        <v>120</v>
      </c>
      <c r="B25" s="55" t="s">
        <v>256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746.2</v>
      </c>
      <c r="R25" s="76">
        <v>536.94200000000001</v>
      </c>
      <c r="S25" s="76">
        <v>192.37</v>
      </c>
      <c r="T25" s="76">
        <v>2188.89</v>
      </c>
      <c r="U25" s="76">
        <v>703.38199999999995</v>
      </c>
      <c r="V25" s="76">
        <v>1170.0550000000001</v>
      </c>
      <c r="W25" s="76">
        <v>88.751999999999995</v>
      </c>
      <c r="X25" s="76">
        <v>238.57300000000001</v>
      </c>
      <c r="Y25" s="76">
        <v>164.30699999999999</v>
      </c>
      <c r="Z25" s="76">
        <v>24.722000000000001</v>
      </c>
      <c r="AA25" s="76">
        <v>71.165999999999997</v>
      </c>
      <c r="AB25" s="76">
        <v>89.125</v>
      </c>
      <c r="AC25" s="76">
        <v>51.244999999999997</v>
      </c>
      <c r="AD25" s="76">
        <v>298.69400000000002</v>
      </c>
      <c r="AE25" s="76">
        <v>23.234000000000002</v>
      </c>
      <c r="AF25" s="76">
        <v>394.33300000000003</v>
      </c>
      <c r="AG25" s="76">
        <v>3.8820000000000001</v>
      </c>
      <c r="AH25" s="76">
        <v>1009.354</v>
      </c>
      <c r="AJ25" s="76">
        <f>SUM(C25:F25)</f>
        <v>0</v>
      </c>
      <c r="AK25" s="76">
        <f>SUM(G25:J25)</f>
        <v>0</v>
      </c>
      <c r="AL25" s="76">
        <f>SUM(K25:N25)</f>
        <v>0</v>
      </c>
      <c r="AM25" s="76">
        <f>SUM(O25:R25)</f>
        <v>1283.1420000000001</v>
      </c>
      <c r="AN25" s="76">
        <f>SUM(S25:V25)</f>
        <v>4254.6970000000001</v>
      </c>
      <c r="AO25" s="76">
        <f t="shared" si="5"/>
        <v>516.35399999999993</v>
      </c>
      <c r="AP25" s="76">
        <f t="shared" si="6"/>
        <v>510.23</v>
      </c>
      <c r="AQ25" s="76">
        <f t="shared" si="7"/>
        <v>1430.8030000000001</v>
      </c>
    </row>
    <row r="26" spans="1:45" s="9" customFormat="1" ht="15.6" customHeight="1">
      <c r="A26" s="34" t="s">
        <v>121</v>
      </c>
      <c r="B26" s="55" t="s">
        <v>257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-421.01400000000001</v>
      </c>
      <c r="S26" s="76">
        <v>-53.99</v>
      </c>
      <c r="T26" s="76">
        <v>-55.593000000000004</v>
      </c>
      <c r="U26" s="76">
        <v>-7.6029999999999998</v>
      </c>
      <c r="V26" s="76">
        <v>16.113</v>
      </c>
      <c r="W26" s="76">
        <v>0</v>
      </c>
      <c r="X26" s="76">
        <v>0</v>
      </c>
      <c r="Y26" s="76">
        <v>0</v>
      </c>
      <c r="Z26" s="76">
        <v>0</v>
      </c>
      <c r="AA26" s="76">
        <v>0</v>
      </c>
      <c r="AB26" s="76">
        <v>0</v>
      </c>
      <c r="AC26" s="76">
        <v>0</v>
      </c>
      <c r="AD26" s="76">
        <v>0</v>
      </c>
      <c r="AE26" s="76">
        <v>0</v>
      </c>
      <c r="AF26" s="76">
        <v>0</v>
      </c>
      <c r="AG26" s="76">
        <v>0</v>
      </c>
      <c r="AH26" s="76">
        <v>0</v>
      </c>
      <c r="AJ26" s="76">
        <f>SUM(C26:F26)</f>
        <v>0</v>
      </c>
      <c r="AK26" s="76">
        <f>SUM(G26:J26)</f>
        <v>0</v>
      </c>
      <c r="AL26" s="76">
        <f>SUM(K26:N26)</f>
        <v>0</v>
      </c>
      <c r="AM26" s="76">
        <f>SUM(O26:R26)</f>
        <v>-421.01400000000001</v>
      </c>
      <c r="AN26" s="76">
        <f>SUM(S26:V26)</f>
        <v>-101.07299999999999</v>
      </c>
      <c r="AO26" s="76">
        <f t="shared" si="5"/>
        <v>0</v>
      </c>
      <c r="AP26" s="76">
        <f t="shared" si="6"/>
        <v>0</v>
      </c>
      <c r="AQ26" s="76">
        <f t="shared" si="7"/>
        <v>0</v>
      </c>
    </row>
    <row r="27" spans="1:45" s="9" customFormat="1" ht="16.5" hidden="1">
      <c r="A27" s="34"/>
      <c r="B27" s="55" t="s">
        <v>436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>
        <v>0</v>
      </c>
      <c r="AH27" s="76">
        <v>0</v>
      </c>
      <c r="AJ27" s="76"/>
      <c r="AK27" s="76"/>
      <c r="AL27" s="76"/>
      <c r="AM27" s="76"/>
      <c r="AN27" s="76"/>
      <c r="AO27" s="76"/>
      <c r="AP27" s="76"/>
      <c r="AQ27" s="76">
        <f t="shared" si="7"/>
        <v>0</v>
      </c>
    </row>
    <row r="28" spans="1:45" s="9" customFormat="1" ht="16.5">
      <c r="A28" s="34" t="s">
        <v>106</v>
      </c>
      <c r="B28" s="55" t="s">
        <v>258</v>
      </c>
      <c r="C28" s="76">
        <v>34.552</v>
      </c>
      <c r="D28" s="76">
        <v>0</v>
      </c>
      <c r="E28" s="76">
        <v>0</v>
      </c>
      <c r="F28" s="76">
        <v>0</v>
      </c>
      <c r="G28" s="76">
        <v>9.6300000000000008</v>
      </c>
      <c r="H28" s="76">
        <v>10.494</v>
      </c>
      <c r="I28" s="76">
        <v>10.726000000000001</v>
      </c>
      <c r="J28" s="76">
        <v>49.67</v>
      </c>
      <c r="K28" s="76">
        <v>5.8419999999999996</v>
      </c>
      <c r="L28" s="76">
        <v>5.9450000000000003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  <c r="R28" s="76">
        <v>0</v>
      </c>
      <c r="S28" s="76">
        <v>0</v>
      </c>
      <c r="T28" s="76">
        <v>0</v>
      </c>
      <c r="U28" s="76">
        <v>0</v>
      </c>
      <c r="V28" s="76">
        <v>0</v>
      </c>
      <c r="W28" s="76">
        <v>0</v>
      </c>
      <c r="X28" s="76">
        <v>0</v>
      </c>
      <c r="Y28" s="76">
        <v>0</v>
      </c>
      <c r="Z28" s="76">
        <v>0</v>
      </c>
      <c r="AA28" s="76">
        <v>0</v>
      </c>
      <c r="AB28" s="76">
        <v>0</v>
      </c>
      <c r="AC28" s="76">
        <v>0</v>
      </c>
      <c r="AD28" s="76">
        <v>0</v>
      </c>
      <c r="AE28" s="76">
        <v>0</v>
      </c>
      <c r="AF28" s="76">
        <v>0</v>
      </c>
      <c r="AG28" s="76">
        <v>0</v>
      </c>
      <c r="AH28" s="76">
        <v>0</v>
      </c>
      <c r="AJ28" s="76">
        <f>SUM(C28:F28)</f>
        <v>34.552</v>
      </c>
      <c r="AK28" s="76">
        <f>SUM(G28:J28)</f>
        <v>80.52000000000001</v>
      </c>
      <c r="AL28" s="76">
        <f>SUM(K28:N28)</f>
        <v>11.786999999999999</v>
      </c>
      <c r="AM28" s="76">
        <f>SUM(O28:R28)</f>
        <v>0</v>
      </c>
      <c r="AN28" s="76">
        <f>SUM(S28:V28)</f>
        <v>0</v>
      </c>
      <c r="AO28" s="76">
        <f>SUM(W28:Z28)</f>
        <v>0</v>
      </c>
      <c r="AP28" s="76">
        <f>SUM(AA28:AD28)</f>
        <v>0</v>
      </c>
      <c r="AQ28" s="76">
        <f t="shared" si="7"/>
        <v>0</v>
      </c>
    </row>
    <row r="29" spans="1:45" s="9" customFormat="1" ht="16.5">
      <c r="A29" s="34" t="s">
        <v>454</v>
      </c>
      <c r="B29" s="55" t="s">
        <v>448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>
        <v>356.5</v>
      </c>
      <c r="AJ29" s="76"/>
      <c r="AK29" s="76"/>
      <c r="AL29" s="76"/>
      <c r="AM29" s="76"/>
      <c r="AN29" s="76"/>
      <c r="AO29" s="76"/>
      <c r="AP29" s="76"/>
      <c r="AQ29" s="76">
        <f t="shared" si="7"/>
        <v>356.5</v>
      </c>
    </row>
    <row r="30" spans="1:45" s="9" customFormat="1" ht="16.5">
      <c r="A30" s="34" t="s">
        <v>455</v>
      </c>
      <c r="B30" s="55" t="s">
        <v>446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>
        <v>0</v>
      </c>
      <c r="AH30" s="76">
        <v>342.697</v>
      </c>
      <c r="AJ30" s="76"/>
      <c r="AK30" s="76"/>
      <c r="AL30" s="76"/>
      <c r="AM30" s="76"/>
      <c r="AN30" s="76"/>
      <c r="AO30" s="76"/>
      <c r="AP30" s="76"/>
      <c r="AQ30" s="76">
        <f t="shared" si="7"/>
        <v>342.697</v>
      </c>
    </row>
    <row r="31" spans="1:45" s="9" customFormat="1" ht="16.5">
      <c r="C31" s="94">
        <f t="shared" ref="C31:AA31" si="8">SUM(C6:C28)</f>
        <v>2251.9540000000002</v>
      </c>
      <c r="D31" s="94">
        <f t="shared" si="8"/>
        <v>3870.6169999999997</v>
      </c>
      <c r="E31" s="94">
        <f t="shared" si="8"/>
        <v>4394.5419999999995</v>
      </c>
      <c r="F31" s="94">
        <f t="shared" si="8"/>
        <v>3231.1220829400004</v>
      </c>
      <c r="G31" s="94">
        <f t="shared" si="8"/>
        <v>2755.1180000000004</v>
      </c>
      <c r="H31" s="94">
        <f t="shared" si="8"/>
        <v>4287.4140000000016</v>
      </c>
      <c r="I31" s="94">
        <f t="shared" si="8"/>
        <v>4537.0749999999998</v>
      </c>
      <c r="J31" s="94">
        <f t="shared" si="8"/>
        <v>3681.2130000000006</v>
      </c>
      <c r="K31" s="94">
        <f t="shared" si="8"/>
        <v>3149.8240000000005</v>
      </c>
      <c r="L31" s="94">
        <f t="shared" si="8"/>
        <v>5419.8370000000004</v>
      </c>
      <c r="M31" s="94">
        <f t="shared" si="8"/>
        <v>5856.3670000000002</v>
      </c>
      <c r="N31" s="94">
        <f t="shared" si="8"/>
        <v>5821.1589999999969</v>
      </c>
      <c r="O31" s="94">
        <f t="shared" si="8"/>
        <v>4298.2059999999992</v>
      </c>
      <c r="P31" s="94">
        <f t="shared" si="8"/>
        <v>10578.886999999999</v>
      </c>
      <c r="Q31" s="94">
        <f t="shared" si="8"/>
        <v>7680.1149999999989</v>
      </c>
      <c r="R31" s="94">
        <f t="shared" si="8"/>
        <v>7137.5578949999963</v>
      </c>
      <c r="S31" s="94">
        <f t="shared" si="8"/>
        <v>6847.987000000001</v>
      </c>
      <c r="T31" s="94">
        <f t="shared" si="8"/>
        <v>12016.793000000001</v>
      </c>
      <c r="U31" s="94">
        <f t="shared" si="8"/>
        <v>14105.384</v>
      </c>
      <c r="V31" s="94">
        <f t="shared" si="8"/>
        <v>12974.612999999999</v>
      </c>
      <c r="W31" s="94">
        <f t="shared" si="8"/>
        <v>10022.125000000002</v>
      </c>
      <c r="X31" s="94">
        <f t="shared" si="8"/>
        <v>10625.985999999997</v>
      </c>
      <c r="Y31" s="94">
        <f t="shared" si="8"/>
        <v>9590.0540000000019</v>
      </c>
      <c r="Z31" s="94">
        <f t="shared" si="8"/>
        <v>4078.900000000001</v>
      </c>
      <c r="AA31" s="94">
        <f t="shared" si="8"/>
        <v>2688.3389999999995</v>
      </c>
      <c r="AB31" s="94">
        <v>4443.8480000000009</v>
      </c>
      <c r="AC31" s="94">
        <v>5407.9189999999999</v>
      </c>
      <c r="AD31" s="94">
        <f>SUM(AD6:AD28)</f>
        <v>5105.4470000000001</v>
      </c>
      <c r="AE31" s="94">
        <f>SUM(AE6:AE28)</f>
        <v>5773.3570000000018</v>
      </c>
      <c r="AF31" s="94">
        <f>SUM(AF6:AF28)</f>
        <v>9719.8940000000002</v>
      </c>
      <c r="AG31" s="94">
        <f>SUM(AG6:AG28)</f>
        <v>11770.382</v>
      </c>
      <c r="AH31" s="94">
        <f>SUM(AH6:AH30)</f>
        <v>10167.087</v>
      </c>
      <c r="AJ31" s="94">
        <f t="shared" ref="AJ31:AP31" si="9">SUM(AJ6:AJ28)</f>
        <v>13748.235082939998</v>
      </c>
      <c r="AK31" s="94">
        <f t="shared" si="9"/>
        <v>15260.820000000003</v>
      </c>
      <c r="AL31" s="94">
        <f t="shared" si="9"/>
        <v>20247.186999999994</v>
      </c>
      <c r="AM31" s="94">
        <f t="shared" si="9"/>
        <v>29694.765895000004</v>
      </c>
      <c r="AN31" s="94">
        <f t="shared" si="9"/>
        <v>45944.777000000009</v>
      </c>
      <c r="AO31" s="94">
        <f t="shared" si="9"/>
        <v>34317.064999999995</v>
      </c>
      <c r="AP31" s="94">
        <f t="shared" si="9"/>
        <v>17645.553</v>
      </c>
      <c r="AQ31" s="94">
        <f>SUM(AQ6:AQ30)</f>
        <v>37430.720000000001</v>
      </c>
      <c r="AR31" s="152"/>
      <c r="AS31" s="152"/>
    </row>
    <row r="32" spans="1:45" s="9" customFormat="1" ht="16.5">
      <c r="A32" s="36" t="s">
        <v>122</v>
      </c>
      <c r="B32" s="36" t="s">
        <v>259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9">
        <v>0</v>
      </c>
      <c r="AA32" s="136"/>
      <c r="AB32" s="136"/>
      <c r="AC32" s="136"/>
      <c r="AD32" s="136"/>
      <c r="AE32" s="136"/>
      <c r="AF32" s="136"/>
      <c r="AG32" s="136"/>
      <c r="AH32" s="136"/>
      <c r="AI32" s="137"/>
      <c r="AJ32" s="136"/>
      <c r="AK32" s="136"/>
      <c r="AL32" s="136"/>
      <c r="AM32" s="136"/>
      <c r="AN32" s="136"/>
      <c r="AO32" s="139"/>
      <c r="AP32" s="76"/>
      <c r="AQ32" s="76"/>
    </row>
    <row r="33" spans="1:45" ht="16.5">
      <c r="A33" s="9" t="s">
        <v>12</v>
      </c>
      <c r="B33" s="9" t="s">
        <v>332</v>
      </c>
      <c r="C33" s="106">
        <v>1048.9010000000001</v>
      </c>
      <c r="D33" s="76">
        <f>-1677.049-4.6</f>
        <v>-1681.6489999999999</v>
      </c>
      <c r="E33" s="76">
        <v>77.206000000000003</v>
      </c>
      <c r="F33" s="76">
        <f>326.101-4.6</f>
        <v>321.50099999999998</v>
      </c>
      <c r="G33" s="76">
        <f>273.523</f>
        <v>273.52300000000002</v>
      </c>
      <c r="H33" s="76">
        <v>654.77300000000002</v>
      </c>
      <c r="I33" s="76">
        <v>139.066</v>
      </c>
      <c r="J33" s="76">
        <v>-394.17700000000002</v>
      </c>
      <c r="K33" s="76">
        <v>756.202</v>
      </c>
      <c r="L33" s="76">
        <v>110.251</v>
      </c>
      <c r="M33" s="76">
        <v>367.69900000000001</v>
      </c>
      <c r="N33" s="76">
        <v>-1493.3689999999999</v>
      </c>
      <c r="O33" s="76">
        <v>575.39800000000002</v>
      </c>
      <c r="P33" s="76">
        <f>751.08+1.071</f>
        <v>752.15100000000007</v>
      </c>
      <c r="Q33" s="76">
        <v>760.99199999999996</v>
      </c>
      <c r="R33" s="76">
        <v>-1310.05</v>
      </c>
      <c r="S33" s="76">
        <v>185.084</v>
      </c>
      <c r="T33" s="76">
        <v>-3224.8249999999998</v>
      </c>
      <c r="U33" s="76">
        <v>-588.51800000000003</v>
      </c>
      <c r="V33" s="76">
        <v>-643.97400000000005</v>
      </c>
      <c r="W33" s="76">
        <v>-241.739</v>
      </c>
      <c r="X33" s="76">
        <v>-1733.4849999999999</v>
      </c>
      <c r="Y33" s="76">
        <v>-263.31200000000001</v>
      </c>
      <c r="Z33" s="76">
        <v>941.21699999999998</v>
      </c>
      <c r="AA33" s="76">
        <v>1041.155</v>
      </c>
      <c r="AB33" s="76">
        <v>1219.674</v>
      </c>
      <c r="AC33" s="76">
        <v>1085.309</v>
      </c>
      <c r="AD33" s="76">
        <v>-219.87</v>
      </c>
      <c r="AE33" s="76">
        <v>232.35400000000001</v>
      </c>
      <c r="AF33" s="76">
        <v>352.00900000000001</v>
      </c>
      <c r="AG33" s="76">
        <v>-338.29399999999998</v>
      </c>
      <c r="AH33" s="76">
        <v>-2261.1889999999999</v>
      </c>
      <c r="AJ33" s="76">
        <f t="shared" ref="AJ33:AJ43" si="10">SUM(C33:F33)</f>
        <v>-234.04099999999983</v>
      </c>
      <c r="AK33" s="76">
        <f t="shared" ref="AK33:AK43" si="11">SUM(G33:J33)</f>
        <v>673.18500000000006</v>
      </c>
      <c r="AL33" s="76">
        <f t="shared" ref="AL33:AL43" si="12">SUM(K33:N33)</f>
        <v>-259.21699999999987</v>
      </c>
      <c r="AM33" s="76">
        <f t="shared" ref="AM33:AM43" si="13">SUM(O33:R33)</f>
        <v>778.49100000000021</v>
      </c>
      <c r="AN33" s="76">
        <f t="shared" ref="AN33:AN43" si="14">SUM(S33:V33)</f>
        <v>-4272.2330000000002</v>
      </c>
      <c r="AO33" s="76">
        <f t="shared" ref="AO33:AO43" si="15">SUM(W33:Z33)</f>
        <v>-1297.319</v>
      </c>
      <c r="AP33" s="76">
        <f t="shared" ref="AP33:AP42" si="16">SUM(AA33:AD33)</f>
        <v>3126.268</v>
      </c>
      <c r="AQ33" s="76">
        <f t="shared" ref="AQ33:AQ39" si="17">SUM(AE33:AH33)</f>
        <v>-2015.12</v>
      </c>
      <c r="AR33" s="153"/>
    </row>
    <row r="34" spans="1:45" ht="16.5">
      <c r="A34" s="9" t="s">
        <v>13</v>
      </c>
      <c r="B34" s="9" t="s">
        <v>199</v>
      </c>
      <c r="C34" s="106">
        <v>-799.05</v>
      </c>
      <c r="D34" s="76">
        <v>622.40200000000004</v>
      </c>
      <c r="E34" s="76">
        <v>19.454000000000001</v>
      </c>
      <c r="F34" s="76">
        <v>204.02099999999999</v>
      </c>
      <c r="G34" s="76">
        <v>-754.52200000000005</v>
      </c>
      <c r="H34" s="76">
        <v>-339.08499999999998</v>
      </c>
      <c r="I34" s="76">
        <v>87.453999999999994</v>
      </c>
      <c r="J34" s="76">
        <v>374.02800000000002</v>
      </c>
      <c r="K34" s="76">
        <v>-1307.018</v>
      </c>
      <c r="L34" s="76">
        <v>-111.258</v>
      </c>
      <c r="M34" s="76">
        <v>-431.416</v>
      </c>
      <c r="N34" s="76">
        <v>407.51299999999998</v>
      </c>
      <c r="O34" s="76">
        <v>-1367.5050000000001</v>
      </c>
      <c r="P34" s="76">
        <v>569.00199999999995</v>
      </c>
      <c r="Q34" s="76">
        <v>-701.00599999999997</v>
      </c>
      <c r="R34" s="76">
        <v>734.60400000000004</v>
      </c>
      <c r="S34" s="76">
        <v>-2394.8020000000001</v>
      </c>
      <c r="T34" s="76">
        <v>-2976.2139999999999</v>
      </c>
      <c r="U34" s="76">
        <v>-522.30999999999995</v>
      </c>
      <c r="V34" s="76">
        <v>-1992.5619999999999</v>
      </c>
      <c r="W34" s="76">
        <v>-2156.886</v>
      </c>
      <c r="X34" s="76">
        <v>-862.20899999999995</v>
      </c>
      <c r="Y34" s="76">
        <v>-1179.722</v>
      </c>
      <c r="Z34" s="76">
        <v>1860.011</v>
      </c>
      <c r="AA34" s="76">
        <v>-591.851</v>
      </c>
      <c r="AB34" s="76">
        <v>928.20899999999995</v>
      </c>
      <c r="AC34" s="76">
        <v>474.666</v>
      </c>
      <c r="AD34" s="76">
        <v>1534.27</v>
      </c>
      <c r="AE34" s="76">
        <v>-1092.152</v>
      </c>
      <c r="AF34" s="76">
        <v>-373.39299999999997</v>
      </c>
      <c r="AG34" s="76">
        <v>-1565.482</v>
      </c>
      <c r="AH34" s="76">
        <v>1150.6369999999999</v>
      </c>
      <c r="AJ34" s="76">
        <f t="shared" si="10"/>
        <v>46.827000000000083</v>
      </c>
      <c r="AK34" s="76">
        <f t="shared" si="11"/>
        <v>-632.125</v>
      </c>
      <c r="AL34" s="76">
        <f t="shared" si="12"/>
        <v>-1442.1790000000001</v>
      </c>
      <c r="AM34" s="76">
        <f t="shared" si="13"/>
        <v>-764.90499999999997</v>
      </c>
      <c r="AN34" s="76">
        <f t="shared" si="14"/>
        <v>-7885.887999999999</v>
      </c>
      <c r="AO34" s="76">
        <f t="shared" si="15"/>
        <v>-2338.806</v>
      </c>
      <c r="AP34" s="76">
        <f t="shared" si="16"/>
        <v>2345.2939999999999</v>
      </c>
      <c r="AQ34" s="76">
        <f t="shared" si="17"/>
        <v>-1880.39</v>
      </c>
    </row>
    <row r="35" spans="1:45" ht="16.5">
      <c r="A35" s="9" t="s">
        <v>15</v>
      </c>
      <c r="B35" s="9" t="s">
        <v>201</v>
      </c>
      <c r="C35" s="106">
        <v>1.482</v>
      </c>
      <c r="D35" s="76">
        <v>-10.715</v>
      </c>
      <c r="E35" s="76">
        <v>-142.44200000000001</v>
      </c>
      <c r="F35" s="76">
        <v>183.047</v>
      </c>
      <c r="G35" s="76">
        <v>-143.02500000000001</v>
      </c>
      <c r="H35" s="76">
        <v>-220.87</v>
      </c>
      <c r="I35" s="76">
        <v>-280.49099999999999</v>
      </c>
      <c r="J35" s="76">
        <v>-48.88</v>
      </c>
      <c r="K35" s="76">
        <v>-10.326000000000001</v>
      </c>
      <c r="L35" s="76">
        <v>68.105000000000004</v>
      </c>
      <c r="M35" s="76">
        <v>8.77</v>
      </c>
      <c r="N35" s="76">
        <v>148.964</v>
      </c>
      <c r="O35" s="76">
        <v>64.349999999999994</v>
      </c>
      <c r="P35" s="76">
        <v>160.93899999999999</v>
      </c>
      <c r="Q35" s="76">
        <v>-164.17699999999999</v>
      </c>
      <c r="R35" s="76">
        <v>-204.75700000000001</v>
      </c>
      <c r="S35" s="76">
        <v>-110.708</v>
      </c>
      <c r="T35" s="76">
        <v>-109.95399999999999</v>
      </c>
      <c r="U35" s="76">
        <v>-270.91199999999998</v>
      </c>
      <c r="V35" s="76">
        <v>466.791</v>
      </c>
      <c r="W35" s="76">
        <v>-773.58100000000002</v>
      </c>
      <c r="X35" s="76">
        <v>-994.66</v>
      </c>
      <c r="Y35" s="76">
        <v>-1247.0060000000001</v>
      </c>
      <c r="Z35" s="76">
        <v>-638.49099999999999</v>
      </c>
      <c r="AA35" s="76">
        <v>-390.07400000000001</v>
      </c>
      <c r="AB35" s="76">
        <v>276.70800000000003</v>
      </c>
      <c r="AC35" s="76">
        <v>430.87599999999998</v>
      </c>
      <c r="AD35" s="76">
        <v>342.82364859239999</v>
      </c>
      <c r="AE35" s="76">
        <v>-326.87</v>
      </c>
      <c r="AF35" s="76">
        <v>443.75299999999999</v>
      </c>
      <c r="AG35" s="76">
        <f>-33.552</f>
        <v>-33.552</v>
      </c>
      <c r="AH35" s="76">
        <v>188.94300000000001</v>
      </c>
      <c r="AJ35" s="76">
        <f t="shared" si="10"/>
        <v>31.371999999999986</v>
      </c>
      <c r="AK35" s="76">
        <f t="shared" si="11"/>
        <v>-693.26599999999996</v>
      </c>
      <c r="AL35" s="76">
        <f t="shared" si="12"/>
        <v>215.51300000000001</v>
      </c>
      <c r="AM35" s="76">
        <f t="shared" si="13"/>
        <v>-143.64500000000001</v>
      </c>
      <c r="AN35" s="76">
        <f t="shared" si="14"/>
        <v>-24.782999999999959</v>
      </c>
      <c r="AO35" s="76">
        <f t="shared" si="15"/>
        <v>-3653.7380000000003</v>
      </c>
      <c r="AP35" s="76">
        <f t="shared" si="16"/>
        <v>660.33364859239998</v>
      </c>
      <c r="AQ35" s="76">
        <f t="shared" si="17"/>
        <v>272.274</v>
      </c>
    </row>
    <row r="36" spans="1:45" ht="16.5">
      <c r="A36" s="9" t="s">
        <v>123</v>
      </c>
      <c r="B36" s="9" t="s">
        <v>333</v>
      </c>
      <c r="C36" s="106">
        <v>-131.48500000000001</v>
      </c>
      <c r="D36" s="76">
        <v>89.649000000000001</v>
      </c>
      <c r="E36" s="76">
        <v>-196.21700000000001</v>
      </c>
      <c r="F36" s="76">
        <v>134.333</v>
      </c>
      <c r="G36" s="76">
        <v>-447.85899999999998</v>
      </c>
      <c r="H36" s="76">
        <v>41.320999999999998</v>
      </c>
      <c r="I36" s="76">
        <v>-103.621</v>
      </c>
      <c r="J36" s="76">
        <v>176.89400000000001</v>
      </c>
      <c r="K36" s="76">
        <v>-28.143000000000001</v>
      </c>
      <c r="L36" s="76">
        <v>78.034999999999997</v>
      </c>
      <c r="M36" s="76">
        <v>-14.148999999999999</v>
      </c>
      <c r="N36" s="76">
        <v>42.561</v>
      </c>
      <c r="O36" s="76">
        <v>71.373000000000005</v>
      </c>
      <c r="P36" s="76">
        <v>-255.53899999999999</v>
      </c>
      <c r="Q36" s="76">
        <v>-56.896999999999998</v>
      </c>
      <c r="R36" s="76">
        <v>210.52099999999999</v>
      </c>
      <c r="S36" s="76">
        <v>-140.35300000000001</v>
      </c>
      <c r="T36" s="76">
        <v>-171.88499999999999</v>
      </c>
      <c r="U36" s="76">
        <f>580.157-1006.8</f>
        <v>-426.64299999999992</v>
      </c>
      <c r="V36" s="76">
        <v>-432.73200000000003</v>
      </c>
      <c r="W36" s="76">
        <v>-190.56200000000001</v>
      </c>
      <c r="X36" s="76">
        <v>780.84699999999998</v>
      </c>
      <c r="Y36" s="76">
        <v>326.23</v>
      </c>
      <c r="Z36" s="76">
        <v>-174.327</v>
      </c>
      <c r="AA36" s="76">
        <v>194.374</v>
      </c>
      <c r="AB36" s="76">
        <v>-348.48599999999999</v>
      </c>
      <c r="AC36" s="76">
        <v>-256.50599999999997</v>
      </c>
      <c r="AD36" s="76">
        <v>220.839</v>
      </c>
      <c r="AE36" s="76">
        <v>-335.19600000000003</v>
      </c>
      <c r="AF36" s="76">
        <v>-186.899</v>
      </c>
      <c r="AG36" s="76">
        <v>57.366999999999997</v>
      </c>
      <c r="AH36" s="76">
        <v>499.84699999999998</v>
      </c>
      <c r="AJ36" s="76">
        <f t="shared" si="10"/>
        <v>-103.72000000000003</v>
      </c>
      <c r="AK36" s="76">
        <f t="shared" si="11"/>
        <v>-333.26499999999999</v>
      </c>
      <c r="AL36" s="76">
        <f t="shared" si="12"/>
        <v>78.304000000000002</v>
      </c>
      <c r="AM36" s="76">
        <f t="shared" si="13"/>
        <v>-30.542000000000002</v>
      </c>
      <c r="AN36" s="76">
        <f t="shared" si="14"/>
        <v>-1171.6129999999998</v>
      </c>
      <c r="AO36" s="76">
        <f t="shared" si="15"/>
        <v>742.18799999999999</v>
      </c>
      <c r="AP36" s="76">
        <f t="shared" si="16"/>
        <v>-189.77899999999994</v>
      </c>
      <c r="AQ36" s="76">
        <f t="shared" si="17"/>
        <v>35.118999999999971</v>
      </c>
    </row>
    <row r="37" spans="1:45" ht="16.5">
      <c r="A37" s="9" t="s">
        <v>14</v>
      </c>
      <c r="B37" s="9" t="s">
        <v>200</v>
      </c>
      <c r="C37" s="106">
        <v>-257.50599999999997</v>
      </c>
      <c r="D37" s="76">
        <v>-201.53100000000001</v>
      </c>
      <c r="E37" s="76">
        <v>-139.678</v>
      </c>
      <c r="F37" s="76">
        <v>-505.12200000000001</v>
      </c>
      <c r="G37" s="76">
        <f>-225.822+-31.956</f>
        <v>-257.77800000000002</v>
      </c>
      <c r="H37" s="76">
        <f>-316.058+-110.122</f>
        <v>-426.18</v>
      </c>
      <c r="I37" s="76">
        <f>-611.889+159.778</f>
        <v>-452.11099999999999</v>
      </c>
      <c r="J37" s="76">
        <f>-206.813+-159.778</f>
        <v>-366.59100000000001</v>
      </c>
      <c r="K37" s="76">
        <v>-373.99</v>
      </c>
      <c r="L37" s="76">
        <v>-337.92200000000003</v>
      </c>
      <c r="M37" s="76">
        <v>-541.68200000000002</v>
      </c>
      <c r="N37" s="76">
        <v>-434.67</v>
      </c>
      <c r="O37" s="76">
        <v>-468.57299999999998</v>
      </c>
      <c r="P37" s="76">
        <v>-485.21899999999999</v>
      </c>
      <c r="Q37" s="76">
        <v>-831.54100000000005</v>
      </c>
      <c r="R37" s="76">
        <v>-982.47799999999995</v>
      </c>
      <c r="S37" s="76">
        <v>-1606.7550000000001</v>
      </c>
      <c r="T37" s="76">
        <v>-1296.923</v>
      </c>
      <c r="U37" s="76">
        <v>-569.39400000000001</v>
      </c>
      <c r="V37" s="76">
        <v>-426.34899999999999</v>
      </c>
      <c r="W37" s="76">
        <v>-1204.2539999999999</v>
      </c>
      <c r="X37" s="76">
        <v>-1408.211</v>
      </c>
      <c r="Y37" s="76">
        <v>-1049.529</v>
      </c>
      <c r="Z37" s="76">
        <v>-780.726</v>
      </c>
      <c r="AA37" s="76">
        <v>-695.33199999999999</v>
      </c>
      <c r="AB37" s="76">
        <v>-641.83399999999995</v>
      </c>
      <c r="AC37" s="76">
        <v>-551.72699999999998</v>
      </c>
      <c r="AD37" s="76">
        <v>-757.06200000000001</v>
      </c>
      <c r="AE37" s="76">
        <v>-313.25900000000001</v>
      </c>
      <c r="AF37" s="76">
        <v>-719.46199999999999</v>
      </c>
      <c r="AG37" s="76">
        <v>-853.87699999999995</v>
      </c>
      <c r="AH37" s="76">
        <v>-966.44200000000001</v>
      </c>
      <c r="AJ37" s="76">
        <f t="shared" si="10"/>
        <v>-1103.837</v>
      </c>
      <c r="AK37" s="76">
        <f t="shared" si="11"/>
        <v>-1502.6599999999999</v>
      </c>
      <c r="AL37" s="76">
        <f t="shared" si="12"/>
        <v>-1688.2640000000001</v>
      </c>
      <c r="AM37" s="76">
        <f t="shared" si="13"/>
        <v>-2767.8110000000001</v>
      </c>
      <c r="AN37" s="76">
        <f t="shared" si="14"/>
        <v>-3899.4210000000003</v>
      </c>
      <c r="AO37" s="76">
        <f t="shared" si="15"/>
        <v>-4442.72</v>
      </c>
      <c r="AP37" s="76">
        <f t="shared" si="16"/>
        <v>-2645.9549999999999</v>
      </c>
      <c r="AQ37" s="76">
        <f t="shared" si="17"/>
        <v>-2853.04</v>
      </c>
    </row>
    <row r="38" spans="1:45" ht="16.5">
      <c r="A38" s="9" t="s">
        <v>124</v>
      </c>
      <c r="B38" s="9" t="s">
        <v>334</v>
      </c>
      <c r="C38" s="106">
        <v>-978.38300000000004</v>
      </c>
      <c r="D38" s="76">
        <f>-281.767+4.6</f>
        <v>-277.16699999999997</v>
      </c>
      <c r="E38" s="76">
        <v>-355.19299999999998</v>
      </c>
      <c r="F38" s="76">
        <f>657.93+4.6</f>
        <v>662.53</v>
      </c>
      <c r="G38" s="76">
        <v>-423.30700000000002</v>
      </c>
      <c r="H38" s="76">
        <v>434.065</v>
      </c>
      <c r="I38" s="76">
        <v>835.83600000000001</v>
      </c>
      <c r="J38" s="76">
        <v>1023.587</v>
      </c>
      <c r="K38" s="76">
        <v>-715.66300000000001</v>
      </c>
      <c r="L38" s="76">
        <v>670.22500000000002</v>
      </c>
      <c r="M38" s="76">
        <v>1134.893</v>
      </c>
      <c r="N38" s="76">
        <v>1907.22</v>
      </c>
      <c r="O38" s="76">
        <v>-1502.3789999999999</v>
      </c>
      <c r="P38" s="76">
        <v>-104.482</v>
      </c>
      <c r="Q38" s="76">
        <v>2150.1570000000002</v>
      </c>
      <c r="R38" s="76">
        <v>2799.1089999999999</v>
      </c>
      <c r="S38" s="76">
        <v>-1484.24</v>
      </c>
      <c r="T38" s="76">
        <v>2927.4789999999998</v>
      </c>
      <c r="U38" s="76">
        <v>215.589</v>
      </c>
      <c r="V38" s="76">
        <v>4891.2740000000003</v>
      </c>
      <c r="W38" s="76">
        <v>-3022.6750000000002</v>
      </c>
      <c r="X38" s="76">
        <v>515.58299999999997</v>
      </c>
      <c r="Y38" s="76">
        <v>1460.989</v>
      </c>
      <c r="Z38" s="76">
        <v>2353.0720000000001</v>
      </c>
      <c r="AA38" s="76">
        <v>-4764.5039999999999</v>
      </c>
      <c r="AB38" s="76">
        <v>-571.25599999999997</v>
      </c>
      <c r="AC38" s="76">
        <v>-75.253</v>
      </c>
      <c r="AD38" s="76">
        <v>1292.7380000000001</v>
      </c>
      <c r="AE38" s="76">
        <v>-3129.462</v>
      </c>
      <c r="AF38" s="76">
        <v>222.60300000000001</v>
      </c>
      <c r="AG38" s="76">
        <v>1585.586</v>
      </c>
      <c r="AH38" s="76">
        <v>3784.8110000000001</v>
      </c>
      <c r="AJ38" s="76">
        <f t="shared" si="10"/>
        <v>-948.21299999999997</v>
      </c>
      <c r="AK38" s="76">
        <f t="shared" si="11"/>
        <v>1870.181</v>
      </c>
      <c r="AL38" s="76">
        <f t="shared" si="12"/>
        <v>2996.6750000000002</v>
      </c>
      <c r="AM38" s="76">
        <f t="shared" si="13"/>
        <v>3342.4050000000002</v>
      </c>
      <c r="AN38" s="76">
        <f t="shared" si="14"/>
        <v>6550.1019999999999</v>
      </c>
      <c r="AO38" s="76">
        <f t="shared" si="15"/>
        <v>1306.9690000000001</v>
      </c>
      <c r="AP38" s="76">
        <f t="shared" si="16"/>
        <v>-4118.2749999999996</v>
      </c>
      <c r="AQ38" s="76">
        <f t="shared" si="17"/>
        <v>2463.5380000000005</v>
      </c>
    </row>
    <row r="39" spans="1:45" ht="16.5">
      <c r="A39" s="9" t="s">
        <v>105</v>
      </c>
      <c r="B39" s="9" t="s">
        <v>231</v>
      </c>
      <c r="C39" s="76">
        <v>-11.901</v>
      </c>
      <c r="D39" s="76">
        <f>-23.861-C39</f>
        <v>-11.96</v>
      </c>
      <c r="E39" s="76">
        <v>-22.097000000000001</v>
      </c>
      <c r="F39" s="76">
        <v>-1174.8395076500001</v>
      </c>
      <c r="G39" s="76">
        <v>-66.218999999999994</v>
      </c>
      <c r="H39" s="76">
        <v>-79.781999999999996</v>
      </c>
      <c r="I39" s="76">
        <v>-84.021000000000001</v>
      </c>
      <c r="J39" s="76">
        <v>-210.88800000000001</v>
      </c>
      <c r="K39" s="76">
        <v>-114.56399999999999</v>
      </c>
      <c r="L39" s="76">
        <v>-114.15900000000001</v>
      </c>
      <c r="M39" s="76">
        <v>-123.038</v>
      </c>
      <c r="N39" s="76">
        <v>-458.52699999999999</v>
      </c>
      <c r="O39" s="76">
        <v>-149.798</v>
      </c>
      <c r="P39" s="76">
        <v>-56.692999999999998</v>
      </c>
      <c r="Q39" s="76">
        <v>-138.44300000000001</v>
      </c>
      <c r="R39" s="76">
        <v>-201.012</v>
      </c>
      <c r="S39" s="76">
        <v>-76.307000000000002</v>
      </c>
      <c r="T39" s="76">
        <v>-96.762</v>
      </c>
      <c r="U39" s="76">
        <v>-82.578999999999994</v>
      </c>
      <c r="V39" s="76">
        <v>-90.126999999999995</v>
      </c>
      <c r="W39" s="76">
        <v>-96.866</v>
      </c>
      <c r="X39" s="76">
        <v>-99.085999999999999</v>
      </c>
      <c r="Y39" s="76">
        <v>-101.17100000000001</v>
      </c>
      <c r="Z39" s="76">
        <v>-105.69</v>
      </c>
      <c r="AA39" s="76">
        <v>-65.625</v>
      </c>
      <c r="AB39" s="76">
        <v>-40.448</v>
      </c>
      <c r="AC39" s="76">
        <v>-37.369999999999997</v>
      </c>
      <c r="AD39" s="76">
        <v>-97.245000000000005</v>
      </c>
      <c r="AE39" s="76">
        <v>-62.723999999999997</v>
      </c>
      <c r="AF39" s="76">
        <v>-114.622</v>
      </c>
      <c r="AG39" s="76">
        <v>-74.477000000000004</v>
      </c>
      <c r="AH39" s="76">
        <v>-75.536000000000001</v>
      </c>
      <c r="AJ39" s="76">
        <f t="shared" si="10"/>
        <v>-1220.7975076500002</v>
      </c>
      <c r="AK39" s="76">
        <f t="shared" si="11"/>
        <v>-440.90999999999997</v>
      </c>
      <c r="AL39" s="76">
        <f t="shared" si="12"/>
        <v>-810.28800000000001</v>
      </c>
      <c r="AM39" s="76">
        <f t="shared" si="13"/>
        <v>-545.94599999999991</v>
      </c>
      <c r="AN39" s="76">
        <f t="shared" si="14"/>
        <v>-345.77500000000003</v>
      </c>
      <c r="AO39" s="76">
        <f t="shared" si="15"/>
        <v>-402.81299999999999</v>
      </c>
      <c r="AP39" s="76">
        <f t="shared" si="16"/>
        <v>-240.68800000000002</v>
      </c>
      <c r="AQ39" s="76">
        <f t="shared" si="17"/>
        <v>-327.35900000000004</v>
      </c>
    </row>
    <row r="40" spans="1:45" ht="16.5">
      <c r="A40" s="9" t="s">
        <v>125</v>
      </c>
      <c r="B40" s="9" t="s">
        <v>335</v>
      </c>
      <c r="C40" s="76">
        <v>-539.98599999999999</v>
      </c>
      <c r="D40" s="76">
        <v>-104.047</v>
      </c>
      <c r="E40" s="76">
        <v>138.75700000000001</v>
      </c>
      <c r="F40" s="76">
        <f>15.850424709999+9.5</f>
        <v>25.350424709999</v>
      </c>
      <c r="G40" s="76">
        <v>-252.03299999999999</v>
      </c>
      <c r="H40" s="76">
        <v>130.46</v>
      </c>
      <c r="I40" s="76">
        <v>337.80799999999999</v>
      </c>
      <c r="J40" s="76">
        <v>-443.82100000000003</v>
      </c>
      <c r="K40" s="76">
        <v>-528.00900000000001</v>
      </c>
      <c r="L40" s="76">
        <v>413.70299999999997</v>
      </c>
      <c r="M40" s="76">
        <v>129.00200000000001</v>
      </c>
      <c r="N40" s="76">
        <v>-75.617999999999995</v>
      </c>
      <c r="O40" s="76">
        <v>-158.94999999999999</v>
      </c>
      <c r="P40" s="76">
        <v>824.03800000000001</v>
      </c>
      <c r="Q40" s="76">
        <v>531.99400000000003</v>
      </c>
      <c r="R40" s="76">
        <v>-429.57100000000003</v>
      </c>
      <c r="S40" s="76">
        <v>-492.68900000000002</v>
      </c>
      <c r="T40" s="76">
        <v>590.51099999999997</v>
      </c>
      <c r="U40" s="76">
        <v>442.96600000000001</v>
      </c>
      <c r="V40" s="76">
        <v>-2.91</v>
      </c>
      <c r="W40" s="76">
        <v>-352.14299999999997</v>
      </c>
      <c r="X40" s="76">
        <v>-180.54900000000001</v>
      </c>
      <c r="Y40" s="76">
        <v>877.178</v>
      </c>
      <c r="Z40" s="76">
        <v>-988.04200000000003</v>
      </c>
      <c r="AA40" s="76">
        <v>-404.56</v>
      </c>
      <c r="AB40" s="76">
        <v>293.762</v>
      </c>
      <c r="AC40" s="76">
        <v>245.93299999999999</v>
      </c>
      <c r="AD40" s="76">
        <v>1077.95</v>
      </c>
      <c r="AE40" s="76">
        <v>-485.41399999999999</v>
      </c>
      <c r="AF40" s="76">
        <v>560.71</v>
      </c>
      <c r="AG40" s="76">
        <v>592.12900000000002</v>
      </c>
      <c r="AH40" s="76">
        <v>-314.85199999999998</v>
      </c>
      <c r="AJ40" s="76">
        <f t="shared" si="10"/>
        <v>-479.92557529000101</v>
      </c>
      <c r="AK40" s="76">
        <f t="shared" si="11"/>
        <v>-227.58600000000001</v>
      </c>
      <c r="AL40" s="76">
        <f t="shared" si="12"/>
        <v>-60.922000000000025</v>
      </c>
      <c r="AM40" s="76">
        <f t="shared" si="13"/>
        <v>767.51099999999985</v>
      </c>
      <c r="AN40" s="76">
        <f t="shared" si="14"/>
        <v>537.87800000000004</v>
      </c>
      <c r="AO40" s="76">
        <f t="shared" si="15"/>
        <v>-643.55600000000004</v>
      </c>
      <c r="AP40" s="76">
        <f t="shared" si="16"/>
        <v>1213.085</v>
      </c>
      <c r="AQ40" s="76">
        <f t="shared" ref="AQ40:AQ42" si="18">SUM(AE40:AH40)</f>
        <v>352.57300000000009</v>
      </c>
      <c r="AS40" s="102"/>
    </row>
    <row r="41" spans="1:45" ht="16.5">
      <c r="A41" s="9" t="s">
        <v>126</v>
      </c>
      <c r="B41" s="9" t="s">
        <v>336</v>
      </c>
      <c r="C41" s="76">
        <v>0</v>
      </c>
      <c r="D41" s="76">
        <v>0</v>
      </c>
      <c r="E41" s="76">
        <v>0</v>
      </c>
      <c r="F41" s="76">
        <v>0</v>
      </c>
      <c r="G41" s="76">
        <v>0</v>
      </c>
      <c r="H41" s="76">
        <v>0</v>
      </c>
      <c r="I41" s="76">
        <v>0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  <c r="R41" s="76">
        <v>0</v>
      </c>
      <c r="S41" s="76">
        <v>-1135.2239999999999</v>
      </c>
      <c r="T41" s="76">
        <v>-223.55600000000001</v>
      </c>
      <c r="U41" s="76">
        <v>-1114.2660000000001</v>
      </c>
      <c r="V41" s="76">
        <v>-1676.021</v>
      </c>
      <c r="W41" s="76">
        <v>-856.58799999999997</v>
      </c>
      <c r="X41" s="76">
        <v>-16.518999999999998</v>
      </c>
      <c r="Y41" s="76">
        <v>0</v>
      </c>
      <c r="Z41" s="76">
        <v>0</v>
      </c>
      <c r="AA41" s="76">
        <v>0</v>
      </c>
      <c r="AB41" s="76">
        <v>-150.02699999999999</v>
      </c>
      <c r="AC41" s="76">
        <v>-292.827</v>
      </c>
      <c r="AD41" s="76">
        <v>0</v>
      </c>
      <c r="AE41" s="76">
        <v>-0.44600000000000001</v>
      </c>
      <c r="AF41" s="76">
        <v>0</v>
      </c>
      <c r="AG41" s="76">
        <v>-313.53800000000001</v>
      </c>
      <c r="AH41" s="76">
        <v>-665.74</v>
      </c>
      <c r="AJ41" s="76">
        <f t="shared" si="10"/>
        <v>0</v>
      </c>
      <c r="AK41" s="76">
        <f t="shared" si="11"/>
        <v>0</v>
      </c>
      <c r="AL41" s="76">
        <f t="shared" si="12"/>
        <v>0</v>
      </c>
      <c r="AM41" s="76">
        <f t="shared" si="13"/>
        <v>0</v>
      </c>
      <c r="AN41" s="76">
        <f t="shared" si="14"/>
        <v>-4149.067</v>
      </c>
      <c r="AO41" s="76">
        <f t="shared" si="15"/>
        <v>-873.10699999999997</v>
      </c>
      <c r="AP41" s="76">
        <f t="shared" si="16"/>
        <v>-442.85399999999998</v>
      </c>
      <c r="AQ41" s="76">
        <f t="shared" si="18"/>
        <v>-979.72400000000005</v>
      </c>
    </row>
    <row r="42" spans="1:45" ht="16.5">
      <c r="A42" s="9" t="s">
        <v>127</v>
      </c>
      <c r="B42" s="9" t="s">
        <v>337</v>
      </c>
      <c r="C42" s="76">
        <v>-136.017</v>
      </c>
      <c r="D42" s="76">
        <v>-427.548</v>
      </c>
      <c r="E42" s="76">
        <v>-260.43</v>
      </c>
      <c r="F42" s="76">
        <v>-213.43700000000001</v>
      </c>
      <c r="G42" s="76">
        <v>-520.59500000000003</v>
      </c>
      <c r="H42" s="76">
        <v>-913.70299999999997</v>
      </c>
      <c r="I42" s="76">
        <v>-692.68799999999999</v>
      </c>
      <c r="J42" s="76">
        <v>-380.74099999999999</v>
      </c>
      <c r="K42" s="76">
        <v>-78.692999999999998</v>
      </c>
      <c r="L42" s="76">
        <v>-986.65800000000002</v>
      </c>
      <c r="M42" s="76">
        <v>-316.58100000000002</v>
      </c>
      <c r="N42" s="76">
        <v>-796.48400000000004</v>
      </c>
      <c r="O42" s="76">
        <v>-290.19400000000002</v>
      </c>
      <c r="P42" s="76">
        <v>-574.06100000000004</v>
      </c>
      <c r="Q42" s="76">
        <v>-1525.3879999999999</v>
      </c>
      <c r="R42" s="76">
        <v>-939.10400000000004</v>
      </c>
      <c r="S42" s="76">
        <v>-221.357</v>
      </c>
      <c r="T42" s="76">
        <v>-1646.318</v>
      </c>
      <c r="U42" s="76">
        <v>-1408.5709999999999</v>
      </c>
      <c r="V42" s="76">
        <v>-2810.2310000000002</v>
      </c>
      <c r="W42" s="76">
        <v>-696.88</v>
      </c>
      <c r="X42" s="76">
        <v>-2499.2489999999998</v>
      </c>
      <c r="Y42" s="76">
        <v>-1395.539</v>
      </c>
      <c r="Z42" s="76">
        <v>-696.428</v>
      </c>
      <c r="AA42" s="76">
        <v>-54.627000000000002</v>
      </c>
      <c r="AB42" s="76">
        <v>-149.50700000000001</v>
      </c>
      <c r="AC42" s="76">
        <v>-119.44399999999999</v>
      </c>
      <c r="AD42" s="76">
        <v>-31.421648592399986</v>
      </c>
      <c r="AE42" s="76">
        <v>-138.64599999999999</v>
      </c>
      <c r="AF42" s="76">
        <v>-309.54000000000002</v>
      </c>
      <c r="AG42" s="76">
        <v>-562.46</v>
      </c>
      <c r="AH42" s="76">
        <v>-934.32899999999995</v>
      </c>
      <c r="AJ42" s="76">
        <f t="shared" si="10"/>
        <v>-1037.4320000000002</v>
      </c>
      <c r="AK42" s="76">
        <f t="shared" si="11"/>
        <v>-2507.7269999999999</v>
      </c>
      <c r="AL42" s="76">
        <f t="shared" si="12"/>
        <v>-2178.4160000000002</v>
      </c>
      <c r="AM42" s="76">
        <f t="shared" si="13"/>
        <v>-3328.7470000000003</v>
      </c>
      <c r="AN42" s="76">
        <f t="shared" si="14"/>
        <v>-6086.4770000000008</v>
      </c>
      <c r="AO42" s="76">
        <f t="shared" si="15"/>
        <v>-5288.0959999999995</v>
      </c>
      <c r="AP42" s="76">
        <f t="shared" si="16"/>
        <v>-354.99964859239998</v>
      </c>
      <c r="AQ42" s="76">
        <f t="shared" si="18"/>
        <v>-1944.9749999999999</v>
      </c>
    </row>
    <row r="43" spans="1:45" ht="16.5">
      <c r="A43" s="57" t="s">
        <v>128</v>
      </c>
      <c r="B43" s="57" t="s">
        <v>260</v>
      </c>
      <c r="C43" s="95">
        <f t="shared" ref="C43:W43" si="19">SUM(C33:C42)</f>
        <v>-1803.9449999999999</v>
      </c>
      <c r="D43" s="95">
        <f t="shared" si="19"/>
        <v>-2002.5659999999998</v>
      </c>
      <c r="E43" s="95">
        <f t="shared" si="19"/>
        <v>-880.6400000000001</v>
      </c>
      <c r="F43" s="95">
        <f t="shared" si="19"/>
        <v>-362.61608294000115</v>
      </c>
      <c r="G43" s="95">
        <f t="shared" si="19"/>
        <v>-2591.8150000000005</v>
      </c>
      <c r="H43" s="95">
        <f t="shared" si="19"/>
        <v>-719.00099999999998</v>
      </c>
      <c r="I43" s="95">
        <f t="shared" si="19"/>
        <v>-212.76799999999997</v>
      </c>
      <c r="J43" s="95">
        <f t="shared" si="19"/>
        <v>-270.58900000000006</v>
      </c>
      <c r="K43" s="95">
        <f t="shared" si="19"/>
        <v>-2400.2040000000006</v>
      </c>
      <c r="L43" s="95">
        <f t="shared" si="19"/>
        <v>-209.678</v>
      </c>
      <c r="M43" s="95">
        <f t="shared" si="19"/>
        <v>213.49799999999993</v>
      </c>
      <c r="N43" s="95">
        <f t="shared" si="19"/>
        <v>-752.41</v>
      </c>
      <c r="O43" s="95">
        <f t="shared" si="19"/>
        <v>-3226.2779999999998</v>
      </c>
      <c r="P43" s="95">
        <f t="shared" si="19"/>
        <v>830.13600000000008</v>
      </c>
      <c r="Q43" s="95">
        <f t="shared" si="19"/>
        <v>25.691000000000258</v>
      </c>
      <c r="R43" s="95">
        <f t="shared" si="19"/>
        <v>-322.73799999999994</v>
      </c>
      <c r="S43" s="95">
        <f t="shared" si="19"/>
        <v>-7477.3510000000006</v>
      </c>
      <c r="T43" s="95">
        <f t="shared" si="19"/>
        <v>-6228.4470000000001</v>
      </c>
      <c r="U43" s="95">
        <f t="shared" si="19"/>
        <v>-4324.6380000000008</v>
      </c>
      <c r="V43" s="95">
        <f t="shared" si="19"/>
        <v>-2716.8409999999999</v>
      </c>
      <c r="W43" s="95">
        <f t="shared" si="19"/>
        <v>-9592.1739999999991</v>
      </c>
      <c r="X43" s="95">
        <f>SUM(X33:X42)</f>
        <v>-6497.5379999999986</v>
      </c>
      <c r="Y43" s="95">
        <f t="shared" ref="Y43:Z43" si="20">SUM(Y33:Y42)</f>
        <v>-2571.8819999999996</v>
      </c>
      <c r="Z43" s="95">
        <f t="shared" si="20"/>
        <v>1770.5960000000005</v>
      </c>
      <c r="AA43" s="95">
        <f>SUM(AA33:AA42)</f>
        <v>-5731.0440000000008</v>
      </c>
      <c r="AB43" s="95">
        <v>816.79500000000007</v>
      </c>
      <c r="AC43" s="95">
        <v>903.65700000000015</v>
      </c>
      <c r="AD43" s="95">
        <f>SUM(AD33:AD42)</f>
        <v>3363.0219999999999</v>
      </c>
      <c r="AE43" s="95">
        <f>SUM(AE33:AE42)</f>
        <v>-5651.8149999999996</v>
      </c>
      <c r="AF43" s="95">
        <f>SUM(AF33:AF42)</f>
        <v>-124.84099999999995</v>
      </c>
      <c r="AG43" s="95">
        <f>SUM(AG33:AG42)</f>
        <v>-1506.598</v>
      </c>
      <c r="AH43" s="95">
        <f>SUM(AH33:AH42)</f>
        <v>406.15000000000009</v>
      </c>
      <c r="AJ43" s="95">
        <f t="shared" si="10"/>
        <v>-5049.7670829400013</v>
      </c>
      <c r="AK43" s="95">
        <f t="shared" si="11"/>
        <v>-3794.1730000000007</v>
      </c>
      <c r="AL43" s="95">
        <f t="shared" si="12"/>
        <v>-3148.7940000000003</v>
      </c>
      <c r="AM43" s="95">
        <f t="shared" si="13"/>
        <v>-2693.1889999999994</v>
      </c>
      <c r="AN43" s="95">
        <f t="shared" si="14"/>
        <v>-20747.277000000002</v>
      </c>
      <c r="AO43" s="95">
        <f t="shared" si="15"/>
        <v>-16890.997999999996</v>
      </c>
      <c r="AP43" s="95">
        <f>SUM(AA43:AD43)</f>
        <v>-647.57000000000062</v>
      </c>
      <c r="AQ43" s="95">
        <f>SUM(AE43:AH43)</f>
        <v>-6877.1039999999994</v>
      </c>
    </row>
    <row r="44" spans="1:45" ht="16.5">
      <c r="A44" s="12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>
        <v>0</v>
      </c>
      <c r="AA44" s="13"/>
      <c r="AB44" s="13"/>
      <c r="AC44" s="13"/>
      <c r="AD44" s="13"/>
      <c r="AE44" s="13"/>
      <c r="AF44" s="13"/>
      <c r="AG44" s="13"/>
      <c r="AH44" s="13"/>
      <c r="AJ44" s="13"/>
      <c r="AK44" s="13"/>
      <c r="AL44" s="13"/>
      <c r="AM44" s="13"/>
      <c r="AN44" s="13"/>
      <c r="AO44" s="13"/>
      <c r="AP44" s="13"/>
      <c r="AQ44" s="13"/>
    </row>
    <row r="45" spans="1:45" ht="16.5">
      <c r="A45" s="57" t="s">
        <v>129</v>
      </c>
      <c r="B45" s="57" t="s">
        <v>353</v>
      </c>
      <c r="C45" s="78">
        <f t="shared" ref="C45:V45" si="21">SUM(C43+C31)</f>
        <v>448.00900000000024</v>
      </c>
      <c r="D45" s="78">
        <f t="shared" si="21"/>
        <v>1868.0509999999999</v>
      </c>
      <c r="E45" s="78">
        <f t="shared" si="21"/>
        <v>3513.9019999999991</v>
      </c>
      <c r="F45" s="78">
        <f t="shared" si="21"/>
        <v>2868.5059999999994</v>
      </c>
      <c r="G45" s="78">
        <f t="shared" si="21"/>
        <v>163.30299999999988</v>
      </c>
      <c r="H45" s="78">
        <f t="shared" si="21"/>
        <v>3568.4130000000014</v>
      </c>
      <c r="I45" s="78">
        <f t="shared" si="21"/>
        <v>4324.3069999999998</v>
      </c>
      <c r="J45" s="78">
        <f t="shared" si="21"/>
        <v>3410.6240000000007</v>
      </c>
      <c r="K45" s="78">
        <f t="shared" si="21"/>
        <v>749.61999999999989</v>
      </c>
      <c r="L45" s="78">
        <f t="shared" si="21"/>
        <v>5210.1590000000006</v>
      </c>
      <c r="M45" s="78">
        <f t="shared" si="21"/>
        <v>6069.8649999999998</v>
      </c>
      <c r="N45" s="78">
        <f t="shared" si="21"/>
        <v>5068.7489999999971</v>
      </c>
      <c r="O45" s="78">
        <f t="shared" si="21"/>
        <v>1071.9279999999994</v>
      </c>
      <c r="P45" s="78">
        <f t="shared" si="21"/>
        <v>11409.022999999999</v>
      </c>
      <c r="Q45" s="78">
        <f t="shared" si="21"/>
        <v>7705.8059999999987</v>
      </c>
      <c r="R45" s="78">
        <f t="shared" si="21"/>
        <v>6814.819894999996</v>
      </c>
      <c r="S45" s="78">
        <f t="shared" si="21"/>
        <v>-629.36399999999958</v>
      </c>
      <c r="T45" s="78">
        <f t="shared" si="21"/>
        <v>5788.3460000000014</v>
      </c>
      <c r="U45" s="78">
        <f t="shared" si="21"/>
        <v>9780.7459999999992</v>
      </c>
      <c r="V45" s="78">
        <f t="shared" si="21"/>
        <v>10257.771999999999</v>
      </c>
      <c r="W45" s="78">
        <f>SUM(W43,W31)</f>
        <v>429.95100000000275</v>
      </c>
      <c r="X45" s="78">
        <f>SUM(X43+X31)</f>
        <v>4128.4479999999985</v>
      </c>
      <c r="Y45" s="78">
        <f t="shared" ref="Y45:Z45" si="22">SUM(Y43+Y31)</f>
        <v>7018.1720000000023</v>
      </c>
      <c r="Z45" s="78">
        <f t="shared" si="22"/>
        <v>5849.496000000001</v>
      </c>
      <c r="AA45" s="78">
        <f t="shared" ref="AA45" si="23">SUM(AA43+AA31)</f>
        <v>-3042.7050000000013</v>
      </c>
      <c r="AB45" s="78">
        <v>5260.6430000000009</v>
      </c>
      <c r="AC45" s="78">
        <v>6311.576</v>
      </c>
      <c r="AD45" s="78">
        <f>SUM(AD43+AD31)</f>
        <v>8468.469000000001</v>
      </c>
      <c r="AE45" s="78">
        <f>SUM(AE43+AE31)</f>
        <v>121.54200000000219</v>
      </c>
      <c r="AF45" s="78">
        <f>SUM(AF43+AF31)</f>
        <v>9595.0529999999999</v>
      </c>
      <c r="AG45" s="78">
        <f>SUM(AG43+AG31)</f>
        <v>10263.784</v>
      </c>
      <c r="AH45" s="78">
        <f>SUM(AH43+AH31)</f>
        <v>10573.236999999999</v>
      </c>
      <c r="AJ45" s="78">
        <f>SUM(C45:F45)</f>
        <v>8698.4679999999989</v>
      </c>
      <c r="AK45" s="78">
        <f>SUM(G45:J45)</f>
        <v>11466.647000000001</v>
      </c>
      <c r="AL45" s="78">
        <f>SUM(K45:N45)</f>
        <v>17098.392999999996</v>
      </c>
      <c r="AM45" s="78">
        <f>SUM(O45:R45)</f>
        <v>27001.576894999995</v>
      </c>
      <c r="AN45" s="78">
        <f>SUM(S45:V45)</f>
        <v>25197.5</v>
      </c>
      <c r="AO45" s="78">
        <f>SUM(W45:Z45)</f>
        <v>17426.067000000003</v>
      </c>
      <c r="AP45" s="78">
        <f>SUM(AA45:AD45)</f>
        <v>16997.983</v>
      </c>
      <c r="AQ45" s="78">
        <f>SUM(AE45:AH45)</f>
        <v>30553.616000000002</v>
      </c>
    </row>
    <row r="46" spans="1:45" ht="16.5"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J46" s="13"/>
      <c r="AK46" s="13"/>
      <c r="AL46" s="13"/>
      <c r="AM46" s="13"/>
      <c r="AN46" s="13"/>
      <c r="AO46" s="13"/>
      <c r="AP46" s="13"/>
      <c r="AQ46" s="13"/>
    </row>
    <row r="47" spans="1:45" ht="16.5">
      <c r="A47" s="9" t="s">
        <v>130</v>
      </c>
      <c r="B47" s="9" t="s">
        <v>338</v>
      </c>
      <c r="C47" s="76">
        <v>-806.61300000000006</v>
      </c>
      <c r="D47" s="76">
        <v>-1171.8230000000001</v>
      </c>
      <c r="E47" s="76">
        <v>-819.52200000000005</v>
      </c>
      <c r="F47" s="76">
        <v>-1112.7729999999999</v>
      </c>
      <c r="G47" s="76">
        <v>-1106.114</v>
      </c>
      <c r="H47" s="76">
        <v>-1204.489</v>
      </c>
      <c r="I47" s="76">
        <v>-1068.74</v>
      </c>
      <c r="J47" s="76">
        <v>-1015.69</v>
      </c>
      <c r="K47" s="76">
        <v>-943.36</v>
      </c>
      <c r="L47" s="76">
        <v>-845.46299999999997</v>
      </c>
      <c r="M47" s="76">
        <v>-1132.0260000000001</v>
      </c>
      <c r="N47" s="76">
        <v>-684.13900000000001</v>
      </c>
      <c r="O47" s="76">
        <v>-882.19899999999996</v>
      </c>
      <c r="P47" s="76">
        <v>-733.298</v>
      </c>
      <c r="Q47" s="76">
        <v>-1105.9870000000001</v>
      </c>
      <c r="R47" s="76">
        <v>-783.202</v>
      </c>
      <c r="S47" s="76">
        <v>-1185.2860000000001</v>
      </c>
      <c r="T47" s="76">
        <v>-675.09799999999996</v>
      </c>
      <c r="U47" s="76">
        <v>-973.40499999999997</v>
      </c>
      <c r="V47" s="76">
        <v>-1110.365</v>
      </c>
      <c r="W47" s="76">
        <v>-1093.1559999999999</v>
      </c>
      <c r="X47" s="76">
        <v>-1291.021</v>
      </c>
      <c r="Y47" s="76">
        <v>-1114.8320000000001</v>
      </c>
      <c r="Z47" s="76">
        <v>-1299.4939999999999</v>
      </c>
      <c r="AA47" s="76">
        <v>-1641.7809999999999</v>
      </c>
      <c r="AB47" s="76">
        <v>-1698.9829999999999</v>
      </c>
      <c r="AC47" s="76">
        <v>-1214.1489999999999</v>
      </c>
      <c r="AD47" s="76">
        <v>-1883.3389999999999</v>
      </c>
      <c r="AE47" s="76">
        <v>-1621.923</v>
      </c>
      <c r="AF47" s="76">
        <v>-1887.701</v>
      </c>
      <c r="AG47" s="76">
        <v>-2702.194</v>
      </c>
      <c r="AH47" s="76">
        <v>-1812.626</v>
      </c>
      <c r="AJ47" s="76">
        <f>SUM(C47:F47)</f>
        <v>-3910.7309999999998</v>
      </c>
      <c r="AK47" s="76">
        <f>SUM(G47:J47)</f>
        <v>-4395.0329999999994</v>
      </c>
      <c r="AL47" s="76">
        <f>SUM(K47:N47)</f>
        <v>-3604.9880000000003</v>
      </c>
      <c r="AM47" s="76">
        <f>SUM(O47:R47)</f>
        <v>-3504.6859999999997</v>
      </c>
      <c r="AN47" s="76">
        <f>SUM(S47:V47)</f>
        <v>-3944.1539999999995</v>
      </c>
      <c r="AO47" s="76">
        <f>SUM(W47:Z47)</f>
        <v>-4798.5029999999997</v>
      </c>
      <c r="AP47" s="76">
        <f>SUM(AA47:AD47)</f>
        <v>-6438.2520000000004</v>
      </c>
      <c r="AQ47" s="76">
        <f>SUM(AE47:AH47)</f>
        <v>-8024.4439999999995</v>
      </c>
    </row>
    <row r="48" spans="1:45" ht="16.5">
      <c r="A48" s="9" t="s">
        <v>131</v>
      </c>
      <c r="B48" s="9" t="s">
        <v>339</v>
      </c>
      <c r="C48" s="76">
        <v>73.168000000000006</v>
      </c>
      <c r="D48" s="76">
        <v>191.26900000000001</v>
      </c>
      <c r="E48" s="76">
        <v>86.921999999999997</v>
      </c>
      <c r="F48" s="76">
        <v>64.915999999999997</v>
      </c>
      <c r="G48" s="76">
        <v>134.22300000000001</v>
      </c>
      <c r="H48" s="76">
        <v>129.208</v>
      </c>
      <c r="I48" s="76">
        <v>103.492</v>
      </c>
      <c r="J48" s="76">
        <v>3.9510000000000001</v>
      </c>
      <c r="K48" s="76">
        <v>61.088000000000001</v>
      </c>
      <c r="L48" s="76">
        <v>64.378</v>
      </c>
      <c r="M48" s="76">
        <v>57.975999999999999</v>
      </c>
      <c r="N48" s="76">
        <v>91.637</v>
      </c>
      <c r="O48" s="76">
        <v>53.619</v>
      </c>
      <c r="P48" s="76">
        <v>48.865000000000002</v>
      </c>
      <c r="Q48" s="76">
        <v>136.495</v>
      </c>
      <c r="R48" s="76">
        <v>45.954000000000001</v>
      </c>
      <c r="S48" s="76">
        <v>36.631</v>
      </c>
      <c r="T48" s="76">
        <v>51.277999999999999</v>
      </c>
      <c r="U48" s="76">
        <v>42.923999999999999</v>
      </c>
      <c r="V48" s="76">
        <v>96.147999999999996</v>
      </c>
      <c r="W48" s="76">
        <v>100.8</v>
      </c>
      <c r="X48" s="76">
        <v>171.95500000000001</v>
      </c>
      <c r="Y48" s="76">
        <v>292.44400000000002</v>
      </c>
      <c r="Z48" s="76">
        <v>140.75</v>
      </c>
      <c r="AA48" s="76">
        <v>285.29399999999998</v>
      </c>
      <c r="AB48" s="76">
        <v>202.25299999999999</v>
      </c>
      <c r="AC48" s="76">
        <v>165.38900000000001</v>
      </c>
      <c r="AD48" s="76">
        <v>285.99599999999998</v>
      </c>
      <c r="AE48" s="76">
        <v>334.38600000000002</v>
      </c>
      <c r="AF48" s="76">
        <v>154.35900000000001</v>
      </c>
      <c r="AG48" s="76">
        <v>302.82</v>
      </c>
      <c r="AH48" s="76">
        <v>236.30199999999999</v>
      </c>
      <c r="AJ48" s="76">
        <f>SUM(C48:F48)</f>
        <v>416.27500000000003</v>
      </c>
      <c r="AK48" s="76">
        <f>SUM(G48:J48)</f>
        <v>370.87400000000008</v>
      </c>
      <c r="AL48" s="76">
        <f>SUM(K48:N48)</f>
        <v>275.07900000000001</v>
      </c>
      <c r="AM48" s="76">
        <f>SUM(O48:R48)</f>
        <v>284.93299999999999</v>
      </c>
      <c r="AN48" s="76">
        <f>SUM(S48:V48)</f>
        <v>226.98099999999999</v>
      </c>
      <c r="AO48" s="76">
        <f>SUM(W48:Z48)</f>
        <v>705.94900000000007</v>
      </c>
      <c r="AP48" s="76">
        <f>SUM(AA48:AD48)</f>
        <v>938.9319999999999</v>
      </c>
      <c r="AQ48" s="76">
        <f>SUM(AE48:AH48)</f>
        <v>1027.867</v>
      </c>
    </row>
    <row r="49" spans="1:43" ht="16.5"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J49" s="13"/>
      <c r="AK49" s="13"/>
      <c r="AL49" s="13"/>
      <c r="AM49" s="13"/>
      <c r="AN49" s="13"/>
      <c r="AO49" s="13"/>
      <c r="AP49" s="13"/>
      <c r="AQ49" s="13"/>
    </row>
    <row r="50" spans="1:43" s="29" customFormat="1" ht="33">
      <c r="A50" s="128" t="s">
        <v>132</v>
      </c>
      <c r="B50" s="128" t="s">
        <v>261</v>
      </c>
      <c r="C50" s="89">
        <f t="shared" ref="C50:W50" si="24">SUM(C45:C49)</f>
        <v>-285.43599999999981</v>
      </c>
      <c r="D50" s="89">
        <f t="shared" si="24"/>
        <v>887.49699999999984</v>
      </c>
      <c r="E50" s="89">
        <f t="shared" si="24"/>
        <v>2781.3019999999992</v>
      </c>
      <c r="F50" s="89">
        <f t="shared" si="24"/>
        <v>1820.6489999999994</v>
      </c>
      <c r="G50" s="89">
        <f t="shared" si="24"/>
        <v>-808.58800000000019</v>
      </c>
      <c r="H50" s="89">
        <f t="shared" si="24"/>
        <v>2493.1320000000014</v>
      </c>
      <c r="I50" s="89">
        <f t="shared" si="24"/>
        <v>3359.0590000000002</v>
      </c>
      <c r="J50" s="89">
        <f t="shared" si="24"/>
        <v>2398.8850000000007</v>
      </c>
      <c r="K50" s="89">
        <f t="shared" si="24"/>
        <v>-132.65200000000013</v>
      </c>
      <c r="L50" s="89">
        <f t="shared" si="24"/>
        <v>4429.0740000000005</v>
      </c>
      <c r="M50" s="89">
        <f t="shared" si="24"/>
        <v>4995.8149999999996</v>
      </c>
      <c r="N50" s="89">
        <f t="shared" si="24"/>
        <v>4476.2469999999967</v>
      </c>
      <c r="O50" s="89">
        <f t="shared" si="24"/>
        <v>243.34799999999947</v>
      </c>
      <c r="P50" s="89">
        <f t="shared" si="24"/>
        <v>10724.589999999998</v>
      </c>
      <c r="Q50" s="89">
        <f t="shared" si="24"/>
        <v>6736.3139999999985</v>
      </c>
      <c r="R50" s="89">
        <f t="shared" si="24"/>
        <v>6077.5718949999955</v>
      </c>
      <c r="S50" s="89">
        <f t="shared" si="24"/>
        <v>-1778.0189999999996</v>
      </c>
      <c r="T50" s="89">
        <f t="shared" si="24"/>
        <v>5164.5260000000017</v>
      </c>
      <c r="U50" s="89">
        <f t="shared" si="24"/>
        <v>8850.2649999999994</v>
      </c>
      <c r="V50" s="89">
        <f t="shared" si="24"/>
        <v>9243.5549999999985</v>
      </c>
      <c r="W50" s="89">
        <f t="shared" si="24"/>
        <v>-562.40499999999724</v>
      </c>
      <c r="X50" s="89">
        <f>SUM(X45:X49)</f>
        <v>3009.3819999999987</v>
      </c>
      <c r="Y50" s="89">
        <f t="shared" ref="Y50:Z50" si="25">SUM(Y45:Y49)</f>
        <v>6195.7840000000024</v>
      </c>
      <c r="Z50" s="89">
        <f t="shared" si="25"/>
        <v>4690.7520000000013</v>
      </c>
      <c r="AA50" s="89">
        <f t="shared" ref="AA50" si="26">SUM(AA45:AA49)</f>
        <v>-4399.1920000000009</v>
      </c>
      <c r="AB50" s="89">
        <v>3763.9130000000009</v>
      </c>
      <c r="AC50" s="89">
        <v>5262.8159999999998</v>
      </c>
      <c r="AD50" s="89">
        <f>SUM(AD45:AD49)</f>
        <v>6871.1260000000011</v>
      </c>
      <c r="AE50" s="89">
        <f>SUM(AE45:AE49)</f>
        <v>-1165.9949999999978</v>
      </c>
      <c r="AF50" s="89">
        <f>SUM(AF45:AF49)</f>
        <v>7861.7110000000002</v>
      </c>
      <c r="AG50" s="89">
        <f>SUM(AG45:AG49)</f>
        <v>7864.41</v>
      </c>
      <c r="AH50" s="89">
        <f>SUM(AH45:AH49)</f>
        <v>8996.9129999999986</v>
      </c>
      <c r="AJ50" s="89">
        <f>SUM(C50:F50)</f>
        <v>5204.0119999999988</v>
      </c>
      <c r="AK50" s="89">
        <f>SUM(G50:J50)</f>
        <v>7442.4880000000012</v>
      </c>
      <c r="AL50" s="89">
        <f>SUM(K50:N50)</f>
        <v>13768.483999999997</v>
      </c>
      <c r="AM50" s="89">
        <f>SUM(O50:R50)</f>
        <v>23781.823894999994</v>
      </c>
      <c r="AN50" s="89">
        <f>SUM(S50:V50)</f>
        <v>21480.326999999997</v>
      </c>
      <c r="AO50" s="89">
        <f>SUM(W50:Z50)</f>
        <v>13333.513000000006</v>
      </c>
      <c r="AP50" s="89">
        <f>SUM(AA50:AD50)</f>
        <v>11498.663</v>
      </c>
      <c r="AQ50" s="89">
        <f>SUM(AE50:AH50)</f>
        <v>23557.039000000001</v>
      </c>
    </row>
    <row r="51" spans="1:43" ht="16.5">
      <c r="A51" s="12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>
        <v>0</v>
      </c>
      <c r="AA51" s="13"/>
      <c r="AB51" s="13"/>
      <c r="AC51" s="13"/>
      <c r="AD51" s="13"/>
      <c r="AE51" s="13"/>
      <c r="AF51" s="13"/>
      <c r="AG51" s="13"/>
      <c r="AH51" s="13"/>
      <c r="AJ51" s="13"/>
      <c r="AK51" s="13"/>
      <c r="AL51" s="13"/>
      <c r="AM51" s="13"/>
      <c r="AN51" s="13"/>
      <c r="AO51" s="13"/>
      <c r="AP51" s="13"/>
      <c r="AQ51" s="13"/>
    </row>
    <row r="52" spans="1:43" ht="16.5">
      <c r="A52" s="2" t="s">
        <v>133</v>
      </c>
      <c r="B52" s="2" t="s">
        <v>262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J52" s="13"/>
      <c r="AK52" s="13"/>
      <c r="AL52" s="13"/>
      <c r="AM52" s="13"/>
      <c r="AN52" s="13"/>
      <c r="AO52" s="13"/>
      <c r="AP52" s="13"/>
      <c r="AQ52" s="13"/>
    </row>
    <row r="53" spans="1:43" ht="16.5">
      <c r="A53" s="9" t="s">
        <v>134</v>
      </c>
      <c r="B53" s="9" t="s">
        <v>342</v>
      </c>
      <c r="C53" s="96">
        <v>-788.34699999999998</v>
      </c>
      <c r="D53" s="96">
        <v>-848.18700000000001</v>
      </c>
      <c r="E53" s="96">
        <v>-691.06399999999996</v>
      </c>
      <c r="F53" s="96">
        <v>-784.37099999999998</v>
      </c>
      <c r="G53" s="96">
        <v>-441.49400000000003</v>
      </c>
      <c r="H53" s="96">
        <v>-608.31399999999996</v>
      </c>
      <c r="I53" s="96">
        <v>-758.91300000000001</v>
      </c>
      <c r="J53" s="96">
        <v>-1088.125</v>
      </c>
      <c r="K53" s="96">
        <v>-754.05399999999997</v>
      </c>
      <c r="L53" s="96">
        <v>-998.471</v>
      </c>
      <c r="M53" s="96">
        <v>-1205.972</v>
      </c>
      <c r="N53" s="96">
        <v>-1307.2439999999999</v>
      </c>
      <c r="O53" s="96">
        <v>-880.25099999999998</v>
      </c>
      <c r="P53" s="96">
        <v>-1238.6579999999999</v>
      </c>
      <c r="Q53" s="96">
        <v>-1547.1869999999999</v>
      </c>
      <c r="R53" s="96">
        <v>-2320.7049999999999</v>
      </c>
      <c r="S53" s="76">
        <v>-1705.779</v>
      </c>
      <c r="T53" s="76">
        <v>-1985.0640000000001</v>
      </c>
      <c r="U53" s="76">
        <v>-2583.4830000000002</v>
      </c>
      <c r="V53" s="76">
        <v>-3349.2460000000001</v>
      </c>
      <c r="W53" s="76">
        <v>-2188.027</v>
      </c>
      <c r="X53" s="76">
        <v>-2629.0390000000002</v>
      </c>
      <c r="Y53" s="76">
        <v>-2968.7060000000001</v>
      </c>
      <c r="Z53" s="76">
        <v>-3440.8310000000001</v>
      </c>
      <c r="AA53" s="76">
        <v>-1718.25</v>
      </c>
      <c r="AB53" s="76">
        <v>-1950.8119999999999</v>
      </c>
      <c r="AC53" s="76">
        <v>-1832.394</v>
      </c>
      <c r="AD53" s="76">
        <v>-1990.855</v>
      </c>
      <c r="AE53" s="76">
        <v>-1407.2940000000001</v>
      </c>
      <c r="AF53" s="76">
        <v>-1802.848</v>
      </c>
      <c r="AG53" s="76">
        <v>-1779.287</v>
      </c>
      <c r="AH53" s="76">
        <v>-3095.1280000000002</v>
      </c>
      <c r="AJ53" s="96">
        <f t="shared" ref="AJ53:AJ66" si="27">SUM(C53:F53)</f>
        <v>-3111.9690000000001</v>
      </c>
      <c r="AK53" s="96">
        <f t="shared" ref="AK53:AK66" si="28">SUM(G53:J53)</f>
        <v>-2896.846</v>
      </c>
      <c r="AL53" s="96">
        <f t="shared" ref="AL53:AL66" si="29">SUM(K53:N53)</f>
        <v>-4265.741</v>
      </c>
      <c r="AM53" s="96">
        <f t="shared" ref="AM53:AM66" si="30">SUM(O53:R53)</f>
        <v>-5986.8009999999995</v>
      </c>
      <c r="AN53" s="76">
        <f t="shared" ref="AN53:AN66" si="31">SUM(S53:V53)</f>
        <v>-9623.5720000000001</v>
      </c>
      <c r="AO53" s="76">
        <f t="shared" ref="AO53:AO66" si="32">SUM(W53:Z53)</f>
        <v>-11226.603000000001</v>
      </c>
      <c r="AP53" s="76">
        <f t="shared" ref="AP53:AP67" si="33">SUM(AA53:AD53)</f>
        <v>-7492.3109999999997</v>
      </c>
      <c r="AQ53" s="76">
        <f>SUM(AE53:AH53)</f>
        <v>-8084.5570000000007</v>
      </c>
    </row>
    <row r="54" spans="1:43" ht="16.5">
      <c r="A54" s="9" t="s">
        <v>135</v>
      </c>
      <c r="B54" s="9" t="s">
        <v>263</v>
      </c>
      <c r="C54" s="96">
        <v>-5.4119999999999999</v>
      </c>
      <c r="D54" s="96">
        <v>-4.3630000000000004</v>
      </c>
      <c r="E54" s="96">
        <v>-5.4359999999999999</v>
      </c>
      <c r="F54" s="96">
        <v>-5.1779999999999999</v>
      </c>
      <c r="G54" s="96">
        <v>-8.5470000000000006</v>
      </c>
      <c r="H54" s="96">
        <v>-3.907</v>
      </c>
      <c r="I54" s="96">
        <v>-10.177</v>
      </c>
      <c r="J54" s="96">
        <v>-2.9340000000000002</v>
      </c>
      <c r="K54" s="96">
        <v>-2.5670000000000002</v>
      </c>
      <c r="L54" s="96">
        <v>-7.5</v>
      </c>
      <c r="M54" s="96">
        <v>-3.5169999999999999</v>
      </c>
      <c r="N54" s="96">
        <v>-4.0990000000000002</v>
      </c>
      <c r="O54" s="96">
        <v>-6.76</v>
      </c>
      <c r="P54" s="96">
        <v>-8.7409999999999997</v>
      </c>
      <c r="Q54" s="96">
        <v>-11.945</v>
      </c>
      <c r="R54" s="96">
        <v>-20.588999999999999</v>
      </c>
      <c r="S54" s="76">
        <v>-5.6760000000000002</v>
      </c>
      <c r="T54" s="76">
        <v>-18.481000000000002</v>
      </c>
      <c r="U54" s="76">
        <v>-7.452</v>
      </c>
      <c r="V54" s="76">
        <v>-21.545999999999999</v>
      </c>
      <c r="W54" s="76">
        <v>-8.715999999999994</v>
      </c>
      <c r="X54" s="76">
        <v>-15.285</v>
      </c>
      <c r="Y54" s="76">
        <v>-7.7169999999999996</v>
      </c>
      <c r="Z54" s="76">
        <v>-11.641999999999999</v>
      </c>
      <c r="AA54" s="76">
        <v>-10.416</v>
      </c>
      <c r="AB54" s="76">
        <v>-4.9800000000000004</v>
      </c>
      <c r="AC54" s="76">
        <v>-17.616</v>
      </c>
      <c r="AD54" s="106">
        <v>-11.707000000000001</v>
      </c>
      <c r="AE54" s="106">
        <v>-11.75</v>
      </c>
      <c r="AF54" s="106">
        <v>-11.265000000000001</v>
      </c>
      <c r="AG54" s="106">
        <v>-8.6219999999999999</v>
      </c>
      <c r="AH54" s="106">
        <v>-26.283999999999999</v>
      </c>
      <c r="AJ54" s="96">
        <f t="shared" si="27"/>
        <v>-20.388999999999999</v>
      </c>
      <c r="AK54" s="96">
        <f t="shared" si="28"/>
        <v>-25.565000000000001</v>
      </c>
      <c r="AL54" s="96">
        <f t="shared" si="29"/>
        <v>-17.683</v>
      </c>
      <c r="AM54" s="96">
        <f t="shared" si="30"/>
        <v>-48.034999999999997</v>
      </c>
      <c r="AN54" s="76">
        <f t="shared" si="31"/>
        <v>-53.155000000000001</v>
      </c>
      <c r="AO54" s="76">
        <f t="shared" si="32"/>
        <v>-43.359999999999992</v>
      </c>
      <c r="AP54" s="76">
        <f t="shared" si="33"/>
        <v>-44.719000000000001</v>
      </c>
      <c r="AQ54" s="76">
        <f>SUM(AE54:AH54)</f>
        <v>-57.920999999999999</v>
      </c>
    </row>
    <row r="55" spans="1:43" ht="16.5">
      <c r="A55" s="9" t="s">
        <v>136</v>
      </c>
      <c r="B55" s="9" t="s">
        <v>264</v>
      </c>
      <c r="C55" s="96">
        <v>22.635000000000002</v>
      </c>
      <c r="D55" s="96">
        <v>86.67</v>
      </c>
      <c r="E55" s="96">
        <v>62.079000000000001</v>
      </c>
      <c r="F55" s="96">
        <v>61.44</v>
      </c>
      <c r="G55" s="96">
        <v>209.50200000000001</v>
      </c>
      <c r="H55" s="96">
        <v>49.582999999999998</v>
      </c>
      <c r="I55" s="96">
        <v>36.133000000000003</v>
      </c>
      <c r="J55" s="96">
        <v>31.783000000000001</v>
      </c>
      <c r="K55" s="96">
        <v>23.56</v>
      </c>
      <c r="L55" s="96">
        <v>60.076999999999998</v>
      </c>
      <c r="M55" s="96">
        <v>66.305999999999997</v>
      </c>
      <c r="N55" s="96">
        <v>44.548999999999999</v>
      </c>
      <c r="O55" s="96">
        <v>28.751999999999999</v>
      </c>
      <c r="P55" s="96">
        <v>93.180999999999997</v>
      </c>
      <c r="Q55" s="96">
        <v>95.628</v>
      </c>
      <c r="R55" s="96">
        <v>146.755</v>
      </c>
      <c r="S55" s="76">
        <v>106.98099999999999</v>
      </c>
      <c r="T55" s="76">
        <v>66.256</v>
      </c>
      <c r="U55" s="76">
        <v>43.109000000000002</v>
      </c>
      <c r="V55" s="76">
        <v>18.318999999999999</v>
      </c>
      <c r="W55" s="76">
        <v>6.7720000000000002</v>
      </c>
      <c r="X55" s="76">
        <v>43.247999999999998</v>
      </c>
      <c r="Y55" s="76">
        <v>77.838999999999999</v>
      </c>
      <c r="Z55" s="76">
        <v>125.39</v>
      </c>
      <c r="AA55" s="76">
        <v>72.367000000000004</v>
      </c>
      <c r="AB55" s="76">
        <v>10.234999999999999</v>
      </c>
      <c r="AC55" s="76">
        <v>13.725</v>
      </c>
      <c r="AD55" s="76">
        <v>263.37599999999998</v>
      </c>
      <c r="AE55" s="106">
        <v>59.378</v>
      </c>
      <c r="AF55" s="106">
        <v>19.757999999999999</v>
      </c>
      <c r="AG55" s="106">
        <v>56.716000000000001</v>
      </c>
      <c r="AH55" s="106">
        <v>123.94</v>
      </c>
      <c r="AJ55" s="96">
        <f t="shared" si="27"/>
        <v>232.82400000000001</v>
      </c>
      <c r="AK55" s="96">
        <f t="shared" si="28"/>
        <v>327.00100000000003</v>
      </c>
      <c r="AL55" s="96">
        <f t="shared" si="29"/>
        <v>194.49199999999999</v>
      </c>
      <c r="AM55" s="96">
        <f t="shared" si="30"/>
        <v>364.31599999999997</v>
      </c>
      <c r="AN55" s="76">
        <f t="shared" si="31"/>
        <v>234.66499999999999</v>
      </c>
      <c r="AO55" s="76">
        <f t="shared" si="32"/>
        <v>253.249</v>
      </c>
      <c r="AP55" s="76">
        <f t="shared" si="33"/>
        <v>359.70299999999997</v>
      </c>
      <c r="AQ55" s="76">
        <f t="shared" ref="AQ55:AQ67" si="34">SUM(AE55:AH55)</f>
        <v>259.79200000000003</v>
      </c>
    </row>
    <row r="56" spans="1:43" ht="16.5">
      <c r="A56" s="9" t="s">
        <v>137</v>
      </c>
      <c r="B56" s="9" t="s">
        <v>265</v>
      </c>
      <c r="C56" s="96">
        <v>0</v>
      </c>
      <c r="D56" s="96">
        <v>0</v>
      </c>
      <c r="E56" s="96">
        <v>0</v>
      </c>
      <c r="F56" s="96">
        <v>3.448</v>
      </c>
      <c r="G56" s="96">
        <v>0</v>
      </c>
      <c r="H56" s="96">
        <v>0</v>
      </c>
      <c r="I56" s="96">
        <v>0</v>
      </c>
      <c r="J56" s="96">
        <v>0</v>
      </c>
      <c r="K56" s="96">
        <v>0</v>
      </c>
      <c r="L56" s="96">
        <v>0</v>
      </c>
      <c r="M56" s="96">
        <v>0</v>
      </c>
      <c r="N56" s="96">
        <v>0</v>
      </c>
      <c r="O56" s="96">
        <v>0</v>
      </c>
      <c r="P56" s="96">
        <v>0</v>
      </c>
      <c r="Q56" s="96">
        <v>0</v>
      </c>
      <c r="R56" s="96">
        <v>0</v>
      </c>
      <c r="S56" s="76">
        <v>0</v>
      </c>
      <c r="T56" s="76">
        <v>0</v>
      </c>
      <c r="U56" s="76">
        <v>0</v>
      </c>
      <c r="V56" s="76">
        <v>0</v>
      </c>
      <c r="W56" s="76">
        <v>0</v>
      </c>
      <c r="X56" s="76">
        <v>0</v>
      </c>
      <c r="Y56" s="76">
        <v>0</v>
      </c>
      <c r="Z56" s="76">
        <v>0</v>
      </c>
      <c r="AA56" s="76">
        <v>0</v>
      </c>
      <c r="AB56" s="76">
        <v>0</v>
      </c>
      <c r="AC56" s="76">
        <v>0</v>
      </c>
      <c r="AD56" s="76">
        <v>0</v>
      </c>
      <c r="AE56" s="76"/>
      <c r="AF56" s="76">
        <v>0</v>
      </c>
      <c r="AG56" s="76">
        <v>0</v>
      </c>
      <c r="AH56" s="76">
        <v>0</v>
      </c>
      <c r="AJ56" s="96">
        <f t="shared" si="27"/>
        <v>3.448</v>
      </c>
      <c r="AK56" s="96">
        <f t="shared" si="28"/>
        <v>0</v>
      </c>
      <c r="AL56" s="96">
        <f t="shared" si="29"/>
        <v>0</v>
      </c>
      <c r="AM56" s="96">
        <f t="shared" si="30"/>
        <v>0</v>
      </c>
      <c r="AN56" s="76">
        <f t="shared" si="31"/>
        <v>0</v>
      </c>
      <c r="AO56" s="76">
        <f t="shared" si="32"/>
        <v>0</v>
      </c>
      <c r="AP56" s="76">
        <f t="shared" si="33"/>
        <v>0</v>
      </c>
      <c r="AQ56" s="76">
        <f t="shared" si="34"/>
        <v>0</v>
      </c>
    </row>
    <row r="57" spans="1:43" ht="16.5">
      <c r="A57" s="9" t="s">
        <v>138</v>
      </c>
      <c r="B57" s="9" t="s">
        <v>266</v>
      </c>
      <c r="C57" s="96">
        <v>0</v>
      </c>
      <c r="D57" s="96">
        <v>0</v>
      </c>
      <c r="E57" s="96">
        <v>0</v>
      </c>
      <c r="F57" s="96">
        <v>0</v>
      </c>
      <c r="G57" s="96">
        <v>0</v>
      </c>
      <c r="H57" s="96">
        <v>0</v>
      </c>
      <c r="I57" s="96">
        <v>0</v>
      </c>
      <c r="J57" s="96">
        <v>0</v>
      </c>
      <c r="K57" s="96">
        <v>0</v>
      </c>
      <c r="L57" s="96">
        <v>0</v>
      </c>
      <c r="M57" s="96">
        <v>0</v>
      </c>
      <c r="N57" s="96">
        <v>0</v>
      </c>
      <c r="O57" s="96">
        <v>0</v>
      </c>
      <c r="P57" s="96">
        <v>0</v>
      </c>
      <c r="Q57" s="96">
        <v>0</v>
      </c>
      <c r="R57" s="96">
        <v>0</v>
      </c>
      <c r="S57" s="76">
        <v>-6.1680000000000001</v>
      </c>
      <c r="T57" s="76">
        <v>0</v>
      </c>
      <c r="U57" s="76">
        <v>0</v>
      </c>
      <c r="V57" s="76">
        <v>0</v>
      </c>
      <c r="W57" s="76">
        <v>-10.811</v>
      </c>
      <c r="X57" s="76">
        <v>0</v>
      </c>
      <c r="Y57" s="76">
        <v>0</v>
      </c>
      <c r="Z57" s="76">
        <v>0</v>
      </c>
      <c r="AA57" s="76">
        <v>0</v>
      </c>
      <c r="AB57" s="76">
        <v>0</v>
      </c>
      <c r="AC57" s="76">
        <v>0</v>
      </c>
      <c r="AD57" s="76">
        <v>0</v>
      </c>
      <c r="AE57" s="106">
        <v>0</v>
      </c>
      <c r="AF57">
        <v>0</v>
      </c>
      <c r="AG57">
        <v>0</v>
      </c>
      <c r="AH57">
        <v>0</v>
      </c>
      <c r="AJ57" s="96">
        <f t="shared" si="27"/>
        <v>0</v>
      </c>
      <c r="AK57" s="96">
        <f t="shared" si="28"/>
        <v>0</v>
      </c>
      <c r="AL57" s="96">
        <f t="shared" si="29"/>
        <v>0</v>
      </c>
      <c r="AM57" s="96">
        <f t="shared" si="30"/>
        <v>0</v>
      </c>
      <c r="AN57" s="76">
        <f t="shared" si="31"/>
        <v>-6.1680000000000001</v>
      </c>
      <c r="AO57" s="76">
        <f t="shared" si="32"/>
        <v>-10.811</v>
      </c>
      <c r="AP57" s="76">
        <f t="shared" si="33"/>
        <v>0</v>
      </c>
      <c r="AQ57" s="76">
        <f t="shared" si="34"/>
        <v>0</v>
      </c>
    </row>
    <row r="58" spans="1:43" ht="16.5">
      <c r="A58" s="9" t="s">
        <v>139</v>
      </c>
      <c r="B58" s="9" t="s">
        <v>267</v>
      </c>
      <c r="C58" s="96">
        <v>-1125.088</v>
      </c>
      <c r="D58" s="96">
        <v>-739.94</v>
      </c>
      <c r="E58" s="96">
        <v>16.638000000000002</v>
      </c>
      <c r="F58" s="96">
        <v>0</v>
      </c>
      <c r="G58" s="96">
        <v>0</v>
      </c>
      <c r="H58" s="96">
        <v>-45.066000000000003</v>
      </c>
      <c r="I58" s="96">
        <v>0</v>
      </c>
      <c r="J58" s="96">
        <v>0</v>
      </c>
      <c r="K58" s="96">
        <v>-43.811</v>
      </c>
      <c r="L58" s="96">
        <v>-4.4859999999999998</v>
      </c>
      <c r="M58" s="96">
        <v>-173.91900000000001</v>
      </c>
      <c r="N58" s="96">
        <v>-2017.9480000000001</v>
      </c>
      <c r="O58" s="96">
        <v>-5.6689999999999996</v>
      </c>
      <c r="P58" s="96">
        <v>-1357.3510000000001</v>
      </c>
      <c r="Q58" s="96">
        <v>-2.964</v>
      </c>
      <c r="R58" s="96">
        <v>-819.49699999999996</v>
      </c>
      <c r="S58" s="76">
        <v>-6.2220000000000004</v>
      </c>
      <c r="T58" s="76">
        <v>-2065.5500000000002</v>
      </c>
      <c r="U58" s="76">
        <v>-5103.3379999999997</v>
      </c>
      <c r="V58" s="76">
        <v>-2162.337</v>
      </c>
      <c r="W58" s="76">
        <v>-720.02499999999998</v>
      </c>
      <c r="X58" s="76">
        <v>-19.032</v>
      </c>
      <c r="Y58" s="76">
        <v>-26.257000000000001</v>
      </c>
      <c r="Z58" s="76">
        <v>-1213.962</v>
      </c>
      <c r="AA58" s="76">
        <v>4.617</v>
      </c>
      <c r="AB58" s="76">
        <v>-7.22</v>
      </c>
      <c r="AC58" s="76">
        <v>-7.3360000000000003</v>
      </c>
      <c r="AD58" s="76">
        <v>-7.2169999999999996</v>
      </c>
      <c r="AE58" s="106">
        <v>-7.2690000000000001</v>
      </c>
      <c r="AF58" s="106">
        <v>-7.3659999999999997</v>
      </c>
      <c r="AG58" s="106">
        <v>-7.4249999999999998</v>
      </c>
      <c r="AH58" s="106">
        <v>-9.4039999999999999</v>
      </c>
      <c r="AJ58" s="96">
        <f t="shared" si="27"/>
        <v>-1848.39</v>
      </c>
      <c r="AK58" s="96">
        <f t="shared" si="28"/>
        <v>-45.066000000000003</v>
      </c>
      <c r="AL58" s="96">
        <f t="shared" si="29"/>
        <v>-2240.1640000000002</v>
      </c>
      <c r="AM58" s="96">
        <f t="shared" si="30"/>
        <v>-2185.4810000000002</v>
      </c>
      <c r="AN58" s="76">
        <f t="shared" si="31"/>
        <v>-9337.4470000000001</v>
      </c>
      <c r="AO58" s="76">
        <f t="shared" si="32"/>
        <v>-1979.2759999999998</v>
      </c>
      <c r="AP58" s="76">
        <f t="shared" si="33"/>
        <v>-17.155999999999999</v>
      </c>
      <c r="AQ58" s="76">
        <f t="shared" si="34"/>
        <v>-31.463999999999999</v>
      </c>
    </row>
    <row r="59" spans="1:43" ht="16.5">
      <c r="A59" s="9" t="s">
        <v>140</v>
      </c>
      <c r="B59" s="9" t="s">
        <v>268</v>
      </c>
      <c r="C59" s="96">
        <v>0</v>
      </c>
      <c r="D59" s="96">
        <v>0</v>
      </c>
      <c r="E59" s="96">
        <v>0</v>
      </c>
      <c r="F59" s="96">
        <v>0</v>
      </c>
      <c r="G59" s="96">
        <v>0</v>
      </c>
      <c r="H59" s="96">
        <v>0</v>
      </c>
      <c r="I59" s="96">
        <v>0</v>
      </c>
      <c r="J59" s="96">
        <v>0</v>
      </c>
      <c r="K59" s="96">
        <v>0</v>
      </c>
      <c r="L59" s="96">
        <v>0</v>
      </c>
      <c r="M59" s="96">
        <v>0</v>
      </c>
      <c r="N59" s="96">
        <v>0</v>
      </c>
      <c r="O59" s="96">
        <v>0</v>
      </c>
      <c r="P59" s="96">
        <v>0</v>
      </c>
      <c r="Q59" s="96">
        <v>0</v>
      </c>
      <c r="R59" s="96">
        <v>0</v>
      </c>
      <c r="S59" s="76">
        <v>0</v>
      </c>
      <c r="T59" s="76">
        <v>0</v>
      </c>
      <c r="U59" s="76">
        <v>0</v>
      </c>
      <c r="V59" s="76">
        <v>0</v>
      </c>
      <c r="W59" s="76">
        <v>0</v>
      </c>
      <c r="X59" s="76">
        <v>0</v>
      </c>
      <c r="Y59" s="76">
        <v>0</v>
      </c>
      <c r="Z59" s="76">
        <v>0</v>
      </c>
      <c r="AA59" s="76">
        <v>0</v>
      </c>
      <c r="AB59" s="76">
        <v>0</v>
      </c>
      <c r="AC59" s="76">
        <v>0</v>
      </c>
      <c r="AD59" s="76">
        <v>0</v>
      </c>
      <c r="AE59" s="76">
        <v>0</v>
      </c>
      <c r="AF59" s="76">
        <v>0</v>
      </c>
      <c r="AG59" s="76">
        <v>0</v>
      </c>
      <c r="AH59" s="76">
        <v>0</v>
      </c>
      <c r="AJ59" s="96">
        <f t="shared" si="27"/>
        <v>0</v>
      </c>
      <c r="AK59" s="96">
        <f t="shared" si="28"/>
        <v>0</v>
      </c>
      <c r="AL59" s="96">
        <f t="shared" si="29"/>
        <v>0</v>
      </c>
      <c r="AM59" s="96">
        <f t="shared" si="30"/>
        <v>0</v>
      </c>
      <c r="AN59" s="76">
        <f t="shared" si="31"/>
        <v>0</v>
      </c>
      <c r="AO59" s="76">
        <f t="shared" si="32"/>
        <v>0</v>
      </c>
      <c r="AP59" s="76">
        <f t="shared" si="33"/>
        <v>0</v>
      </c>
      <c r="AQ59" s="76">
        <f t="shared" si="34"/>
        <v>0</v>
      </c>
    </row>
    <row r="60" spans="1:43" ht="16.5">
      <c r="A60" s="9" t="s">
        <v>140</v>
      </c>
      <c r="B60" s="9" t="s">
        <v>343</v>
      </c>
      <c r="C60" s="96">
        <v>0</v>
      </c>
      <c r="D60" s="96">
        <v>-52.898000000000003</v>
      </c>
      <c r="E60" s="96">
        <v>0</v>
      </c>
      <c r="F60" s="96">
        <v>0</v>
      </c>
      <c r="G60" s="96">
        <v>622.23500000000001</v>
      </c>
      <c r="H60" s="96">
        <v>0</v>
      </c>
      <c r="I60" s="96">
        <v>0</v>
      </c>
      <c r="J60" s="96">
        <v>0</v>
      </c>
      <c r="K60" s="96">
        <v>0</v>
      </c>
      <c r="L60" s="96">
        <v>0</v>
      </c>
      <c r="M60" s="96">
        <v>0</v>
      </c>
      <c r="N60" s="96">
        <v>0</v>
      </c>
      <c r="O60" s="96">
        <v>0</v>
      </c>
      <c r="P60" s="96">
        <v>0</v>
      </c>
      <c r="Q60" s="96">
        <v>0</v>
      </c>
      <c r="R60" s="96">
        <v>0</v>
      </c>
      <c r="S60" s="76">
        <v>0</v>
      </c>
      <c r="T60" s="76">
        <v>0</v>
      </c>
      <c r="U60" s="76">
        <v>0</v>
      </c>
      <c r="V60" s="76">
        <v>0</v>
      </c>
      <c r="W60" s="76">
        <v>0</v>
      </c>
      <c r="X60" s="76">
        <v>0</v>
      </c>
      <c r="Y60" s="76">
        <v>0</v>
      </c>
      <c r="Z60" s="76">
        <v>0</v>
      </c>
      <c r="AA60" s="76">
        <v>0</v>
      </c>
      <c r="AB60" s="76">
        <v>0</v>
      </c>
      <c r="AC60" s="76">
        <v>0</v>
      </c>
      <c r="AD60" s="76">
        <v>0</v>
      </c>
      <c r="AE60" s="76">
        <v>0</v>
      </c>
      <c r="AF60" s="76">
        <v>0</v>
      </c>
      <c r="AG60" s="76">
        <v>0</v>
      </c>
      <c r="AH60" s="76">
        <v>0</v>
      </c>
      <c r="AJ60" s="96">
        <f t="shared" si="27"/>
        <v>-52.898000000000003</v>
      </c>
      <c r="AK60" s="96">
        <f t="shared" si="28"/>
        <v>622.23500000000001</v>
      </c>
      <c r="AL60" s="96">
        <f t="shared" si="29"/>
        <v>0</v>
      </c>
      <c r="AM60" s="96">
        <f t="shared" si="30"/>
        <v>0</v>
      </c>
      <c r="AN60" s="76">
        <f t="shared" si="31"/>
        <v>0</v>
      </c>
      <c r="AO60" s="76">
        <f t="shared" si="32"/>
        <v>0</v>
      </c>
      <c r="AP60" s="76">
        <f t="shared" si="33"/>
        <v>0</v>
      </c>
      <c r="AQ60" s="76">
        <f t="shared" si="34"/>
        <v>0</v>
      </c>
    </row>
    <row r="61" spans="1:43" ht="16.5">
      <c r="A61" s="9" t="s">
        <v>141</v>
      </c>
      <c r="B61" s="9" t="s">
        <v>269</v>
      </c>
      <c r="C61" s="96">
        <v>0</v>
      </c>
      <c r="D61" s="96">
        <v>0</v>
      </c>
      <c r="E61" s="96">
        <v>0</v>
      </c>
      <c r="F61" s="96">
        <v>10</v>
      </c>
      <c r="G61" s="96">
        <v>0</v>
      </c>
      <c r="H61" s="96">
        <v>3</v>
      </c>
      <c r="I61" s="96">
        <v>0</v>
      </c>
      <c r="J61" s="96">
        <v>2.5</v>
      </c>
      <c r="K61" s="96">
        <v>6</v>
      </c>
      <c r="L61" s="96">
        <v>6</v>
      </c>
      <c r="M61" s="96">
        <v>6</v>
      </c>
      <c r="N61" s="96">
        <v>7.5</v>
      </c>
      <c r="O61" s="96">
        <v>7.5</v>
      </c>
      <c r="P61" s="96">
        <v>6</v>
      </c>
      <c r="Q61" s="96">
        <v>7.5</v>
      </c>
      <c r="R61" s="96">
        <v>9</v>
      </c>
      <c r="S61" s="76">
        <v>4</v>
      </c>
      <c r="T61" s="76">
        <v>8.5</v>
      </c>
      <c r="U61" s="76">
        <v>8.5</v>
      </c>
      <c r="V61" s="76">
        <v>10</v>
      </c>
      <c r="W61" s="76">
        <v>6</v>
      </c>
      <c r="X61" s="76">
        <v>0</v>
      </c>
      <c r="Y61" s="76">
        <v>0</v>
      </c>
      <c r="Z61" s="76">
        <v>8</v>
      </c>
      <c r="AA61" s="76">
        <v>7.5</v>
      </c>
      <c r="AB61" s="76">
        <v>10</v>
      </c>
      <c r="AC61" s="76">
        <v>15</v>
      </c>
      <c r="AD61" s="76">
        <v>30</v>
      </c>
      <c r="AE61" s="76">
        <v>15</v>
      </c>
      <c r="AF61" s="76">
        <v>17.547999999999998</v>
      </c>
      <c r="AG61" s="76">
        <v>12.531000000000001</v>
      </c>
      <c r="AH61" s="76">
        <v>11.804</v>
      </c>
      <c r="AJ61" s="96">
        <f t="shared" si="27"/>
        <v>10</v>
      </c>
      <c r="AK61" s="96">
        <f t="shared" si="28"/>
        <v>5.5</v>
      </c>
      <c r="AL61" s="96">
        <f t="shared" si="29"/>
        <v>25.5</v>
      </c>
      <c r="AM61" s="96">
        <f t="shared" si="30"/>
        <v>30</v>
      </c>
      <c r="AN61" s="76">
        <f t="shared" si="31"/>
        <v>31</v>
      </c>
      <c r="AO61" s="76">
        <f t="shared" si="32"/>
        <v>14</v>
      </c>
      <c r="AP61" s="76">
        <f t="shared" si="33"/>
        <v>62.5</v>
      </c>
      <c r="AQ61" s="76">
        <f t="shared" si="34"/>
        <v>56.883000000000003</v>
      </c>
    </row>
    <row r="62" spans="1:43" ht="16.5">
      <c r="A62" s="9" t="s">
        <v>143</v>
      </c>
      <c r="B62" s="9" t="s">
        <v>270</v>
      </c>
      <c r="C62" s="96">
        <v>0</v>
      </c>
      <c r="D62" s="96">
        <v>0</v>
      </c>
      <c r="E62" s="96">
        <v>0</v>
      </c>
      <c r="F62" s="96">
        <v>0</v>
      </c>
      <c r="G62" s="96">
        <v>0</v>
      </c>
      <c r="H62" s="96">
        <v>0</v>
      </c>
      <c r="I62" s="96">
        <v>0</v>
      </c>
      <c r="J62" s="96">
        <v>0</v>
      </c>
      <c r="K62" s="96">
        <v>0</v>
      </c>
      <c r="L62" s="96">
        <v>0</v>
      </c>
      <c r="M62" s="96">
        <v>0</v>
      </c>
      <c r="N62" s="96">
        <v>0</v>
      </c>
      <c r="O62" s="96">
        <v>0</v>
      </c>
      <c r="P62" s="96">
        <v>0</v>
      </c>
      <c r="Q62" s="96">
        <v>0</v>
      </c>
      <c r="R62" s="96">
        <v>0</v>
      </c>
      <c r="S62" s="76">
        <v>0</v>
      </c>
      <c r="T62" s="76">
        <v>0</v>
      </c>
      <c r="U62" s="76">
        <v>0</v>
      </c>
      <c r="V62" s="76"/>
      <c r="W62" s="76"/>
      <c r="X62" s="76">
        <v>0</v>
      </c>
      <c r="Y62" s="76">
        <v>0</v>
      </c>
      <c r="Z62" s="76">
        <v>0</v>
      </c>
      <c r="AA62" s="76">
        <v>0</v>
      </c>
      <c r="AB62" s="76">
        <v>0</v>
      </c>
      <c r="AC62" s="76">
        <v>0</v>
      </c>
      <c r="AD62" s="76">
        <v>0</v>
      </c>
      <c r="AE62" s="76">
        <v>0</v>
      </c>
      <c r="AF62" s="76">
        <v>0</v>
      </c>
      <c r="AG62" s="76">
        <v>0</v>
      </c>
      <c r="AH62" s="76">
        <v>0</v>
      </c>
      <c r="AJ62" s="96">
        <f t="shared" si="27"/>
        <v>0</v>
      </c>
      <c r="AK62" s="96">
        <f t="shared" si="28"/>
        <v>0</v>
      </c>
      <c r="AL62" s="96">
        <f t="shared" si="29"/>
        <v>0</v>
      </c>
      <c r="AM62" s="96">
        <f t="shared" si="30"/>
        <v>0</v>
      </c>
      <c r="AN62" s="76">
        <f t="shared" si="31"/>
        <v>0</v>
      </c>
      <c r="AO62" s="76">
        <f t="shared" si="32"/>
        <v>0</v>
      </c>
      <c r="AP62" s="76">
        <f t="shared" si="33"/>
        <v>0</v>
      </c>
      <c r="AQ62" s="76">
        <f t="shared" si="34"/>
        <v>0</v>
      </c>
    </row>
    <row r="63" spans="1:43" ht="16.5">
      <c r="A63" s="9" t="s">
        <v>142</v>
      </c>
      <c r="B63" s="9" t="s">
        <v>344</v>
      </c>
      <c r="C63" s="96">
        <v>0</v>
      </c>
      <c r="D63" s="96">
        <v>0</v>
      </c>
      <c r="E63" s="96">
        <v>964.33600000000001</v>
      </c>
      <c r="F63" s="96">
        <v>893.91700000000003</v>
      </c>
      <c r="G63" s="96">
        <v>6.6159999999999997</v>
      </c>
      <c r="H63" s="96">
        <v>0</v>
      </c>
      <c r="I63" s="96">
        <v>0</v>
      </c>
      <c r="J63" s="96">
        <v>0</v>
      </c>
      <c r="K63" s="96">
        <v>0</v>
      </c>
      <c r="L63" s="96">
        <v>0</v>
      </c>
      <c r="M63" s="96">
        <v>0</v>
      </c>
      <c r="N63" s="96">
        <v>0</v>
      </c>
      <c r="O63" s="96">
        <v>0</v>
      </c>
      <c r="P63" s="96">
        <v>0</v>
      </c>
      <c r="Q63" s="96">
        <v>0</v>
      </c>
      <c r="R63" s="96">
        <v>0</v>
      </c>
      <c r="S63" s="76">
        <v>0</v>
      </c>
      <c r="T63" s="76">
        <v>0</v>
      </c>
      <c r="U63" s="76">
        <v>0</v>
      </c>
      <c r="V63" s="76">
        <v>0</v>
      </c>
      <c r="W63" s="76">
        <v>0</v>
      </c>
      <c r="X63" s="76">
        <v>0</v>
      </c>
      <c r="Y63" s="76">
        <v>0</v>
      </c>
      <c r="Z63" s="76">
        <v>0</v>
      </c>
      <c r="AA63" s="76">
        <v>0</v>
      </c>
      <c r="AB63" s="76">
        <v>0</v>
      </c>
      <c r="AC63" s="76">
        <v>0</v>
      </c>
      <c r="AD63" s="76">
        <v>0</v>
      </c>
      <c r="AE63" s="76">
        <v>0</v>
      </c>
      <c r="AF63" s="76">
        <v>0</v>
      </c>
      <c r="AG63" s="76">
        <v>0</v>
      </c>
      <c r="AH63" s="76">
        <v>0</v>
      </c>
      <c r="AJ63" s="96">
        <f t="shared" si="27"/>
        <v>1858.2530000000002</v>
      </c>
      <c r="AK63" s="96">
        <f t="shared" si="28"/>
        <v>6.6159999999999997</v>
      </c>
      <c r="AL63" s="96">
        <f t="shared" si="29"/>
        <v>0</v>
      </c>
      <c r="AM63" s="96">
        <f t="shared" si="30"/>
        <v>0</v>
      </c>
      <c r="AN63" s="76">
        <f t="shared" si="31"/>
        <v>0</v>
      </c>
      <c r="AO63" s="76">
        <f t="shared" si="32"/>
        <v>0</v>
      </c>
      <c r="AP63" s="76">
        <f t="shared" si="33"/>
        <v>0</v>
      </c>
      <c r="AQ63" s="76">
        <f t="shared" si="34"/>
        <v>0</v>
      </c>
    </row>
    <row r="64" spans="1:43" ht="16.5">
      <c r="A64" s="9" t="s">
        <v>144</v>
      </c>
      <c r="B64" s="9" t="s">
        <v>271</v>
      </c>
      <c r="C64" s="96">
        <v>0</v>
      </c>
      <c r="D64" s="96">
        <v>0</v>
      </c>
      <c r="E64" s="96">
        <v>0</v>
      </c>
      <c r="F64" s="96">
        <v>0</v>
      </c>
      <c r="G64" s="96">
        <v>0</v>
      </c>
      <c r="H64" s="96">
        <v>0</v>
      </c>
      <c r="I64" s="96">
        <v>0</v>
      </c>
      <c r="J64" s="96">
        <v>0</v>
      </c>
      <c r="K64" s="96">
        <v>0</v>
      </c>
      <c r="L64" s="96">
        <v>0</v>
      </c>
      <c r="M64" s="96">
        <v>0</v>
      </c>
      <c r="N64" s="96">
        <v>0</v>
      </c>
      <c r="O64" s="96">
        <v>0</v>
      </c>
      <c r="P64" s="96">
        <v>0</v>
      </c>
      <c r="Q64" s="96">
        <v>0</v>
      </c>
      <c r="R64" s="96">
        <v>0</v>
      </c>
      <c r="S64" s="76">
        <v>0</v>
      </c>
      <c r="T64" s="76">
        <v>0</v>
      </c>
      <c r="U64" s="76">
        <v>0</v>
      </c>
      <c r="V64" s="76">
        <v>0</v>
      </c>
      <c r="W64" s="76">
        <v>0</v>
      </c>
      <c r="X64" s="76">
        <v>0</v>
      </c>
      <c r="Y64" s="76">
        <v>0</v>
      </c>
      <c r="Z64" s="76">
        <v>0</v>
      </c>
      <c r="AA64" s="76">
        <v>0</v>
      </c>
      <c r="AB64" s="76">
        <v>0</v>
      </c>
      <c r="AC64" s="76">
        <v>0</v>
      </c>
      <c r="AD64" s="76">
        <v>0</v>
      </c>
      <c r="AE64" s="76">
        <v>0</v>
      </c>
      <c r="AF64" s="76">
        <v>0</v>
      </c>
      <c r="AG64" s="76">
        <v>0</v>
      </c>
      <c r="AH64" s="76">
        <v>0</v>
      </c>
      <c r="AJ64" s="96">
        <f t="shared" si="27"/>
        <v>0</v>
      </c>
      <c r="AK64" s="96">
        <f t="shared" si="28"/>
        <v>0</v>
      </c>
      <c r="AL64" s="96">
        <f t="shared" si="29"/>
        <v>0</v>
      </c>
      <c r="AM64" s="96">
        <f t="shared" si="30"/>
        <v>0</v>
      </c>
      <c r="AN64" s="76">
        <f t="shared" si="31"/>
        <v>0</v>
      </c>
      <c r="AO64" s="76">
        <f t="shared" si="32"/>
        <v>0</v>
      </c>
      <c r="AP64" s="76">
        <f t="shared" si="33"/>
        <v>0</v>
      </c>
      <c r="AQ64" s="76">
        <f t="shared" si="34"/>
        <v>0</v>
      </c>
    </row>
    <row r="65" spans="1:43" ht="16.5">
      <c r="A65" s="9" t="s">
        <v>145</v>
      </c>
      <c r="B65" s="9" t="s">
        <v>272</v>
      </c>
      <c r="C65" s="96">
        <v>153.46199999999999</v>
      </c>
      <c r="D65" s="96">
        <v>217.11799999999999</v>
      </c>
      <c r="E65" s="96">
        <v>95.272999999999996</v>
      </c>
      <c r="F65" s="96">
        <v>26.984000000000002</v>
      </c>
      <c r="G65" s="96">
        <v>310.66000000000003</v>
      </c>
      <c r="H65" s="96">
        <v>32.030999999999999</v>
      </c>
      <c r="I65" s="96">
        <v>-330.83499999999998</v>
      </c>
      <c r="J65" s="96">
        <v>242.26900000000001</v>
      </c>
      <c r="K65" s="96">
        <v>194.69300000000001</v>
      </c>
      <c r="L65" s="96">
        <v>231.84399999999999</v>
      </c>
      <c r="M65" s="96">
        <v>23.922999999999998</v>
      </c>
      <c r="N65" s="96">
        <v>-2.7E-2</v>
      </c>
      <c r="O65" s="96">
        <v>0</v>
      </c>
      <c r="P65" s="96">
        <v>0</v>
      </c>
      <c r="Q65" s="96">
        <v>-8.0640000000000001</v>
      </c>
      <c r="R65" s="96">
        <v>0</v>
      </c>
      <c r="S65" s="76">
        <v>0</v>
      </c>
      <c r="T65" s="76">
        <v>0</v>
      </c>
      <c r="U65" s="76">
        <v>0</v>
      </c>
      <c r="V65" s="76">
        <v>0</v>
      </c>
      <c r="W65" s="76">
        <v>0</v>
      </c>
      <c r="X65" s="76">
        <v>1.3009999999999999</v>
      </c>
      <c r="Y65" s="76">
        <v>1.302</v>
      </c>
      <c r="Z65" s="76">
        <v>1.302</v>
      </c>
      <c r="AA65" s="76">
        <v>1.3</v>
      </c>
      <c r="AB65" s="76">
        <v>1.2989999999999999</v>
      </c>
      <c r="AC65" s="76">
        <v>1.298</v>
      </c>
      <c r="AD65" s="76">
        <v>1.294</v>
      </c>
      <c r="AE65" s="76">
        <v>1.29</v>
      </c>
      <c r="AF65" s="76">
        <v>1.29</v>
      </c>
      <c r="AG65" s="76">
        <v>0.93100000000000005</v>
      </c>
      <c r="AH65" s="76">
        <v>119.751</v>
      </c>
      <c r="AJ65" s="96">
        <f t="shared" si="27"/>
        <v>492.83699999999993</v>
      </c>
      <c r="AK65" s="96">
        <f t="shared" si="28"/>
        <v>254.12500000000006</v>
      </c>
      <c r="AL65" s="96">
        <f t="shared" si="29"/>
        <v>450.43300000000005</v>
      </c>
      <c r="AM65" s="96">
        <f t="shared" si="30"/>
        <v>-8.0640000000000001</v>
      </c>
      <c r="AN65" s="76">
        <f t="shared" si="31"/>
        <v>0</v>
      </c>
      <c r="AO65" s="76">
        <f t="shared" si="32"/>
        <v>3.9049999999999998</v>
      </c>
      <c r="AP65" s="76">
        <f t="shared" si="33"/>
        <v>5.1910000000000007</v>
      </c>
      <c r="AQ65" s="76">
        <f t="shared" si="34"/>
        <v>123.262</v>
      </c>
    </row>
    <row r="66" spans="1:43" ht="16.5">
      <c r="A66" s="9" t="s">
        <v>146</v>
      </c>
      <c r="B66" s="9" t="s">
        <v>273</v>
      </c>
      <c r="C66" s="96">
        <v>0</v>
      </c>
      <c r="D66" s="96">
        <v>9.8559999999999999</v>
      </c>
      <c r="E66" s="96">
        <v>4.0000000000000001E-3</v>
      </c>
      <c r="F66" s="96">
        <v>0</v>
      </c>
      <c r="G66" s="96">
        <v>7.1999999999999995E-2</v>
      </c>
      <c r="H66" s="96">
        <v>9.1739999999999995</v>
      </c>
      <c r="I66" s="96">
        <v>1.2999999999999999E-2</v>
      </c>
      <c r="J66" s="96">
        <v>6.0000000000000001E-3</v>
      </c>
      <c r="K66" s="96">
        <v>-2.9409999999999998</v>
      </c>
      <c r="L66" s="96">
        <v>0</v>
      </c>
      <c r="M66" s="96">
        <v>0.06</v>
      </c>
      <c r="N66" s="96">
        <v>1.56</v>
      </c>
      <c r="O66" s="96">
        <v>0</v>
      </c>
      <c r="P66" s="96">
        <v>0</v>
      </c>
      <c r="Q66" s="96">
        <v>4.9000000000000002E-2</v>
      </c>
      <c r="R66" s="96">
        <v>0.88100000000000001</v>
      </c>
      <c r="S66" s="76">
        <v>1.4999999999999999E-2</v>
      </c>
      <c r="T66" s="76">
        <v>2E-3</v>
      </c>
      <c r="U66" s="76">
        <v>-103.708</v>
      </c>
      <c r="V66" s="76">
        <v>0</v>
      </c>
      <c r="W66" s="76">
        <v>0</v>
      </c>
      <c r="X66" s="76">
        <v>0</v>
      </c>
      <c r="Y66" s="76">
        <v>38.526000000000003</v>
      </c>
      <c r="Z66" s="76">
        <v>-174.471</v>
      </c>
      <c r="AA66" s="76">
        <v>8.3059999999999992</v>
      </c>
      <c r="AB66" s="76">
        <v>94.481999999999999</v>
      </c>
      <c r="AC66" s="76">
        <v>-0.27700000000000002</v>
      </c>
      <c r="AD66" s="76">
        <v>0</v>
      </c>
      <c r="AE66" s="76">
        <v>0</v>
      </c>
      <c r="AF66" s="76">
        <v>0</v>
      </c>
      <c r="AG66" s="76">
        <v>0</v>
      </c>
      <c r="AH66" s="76"/>
      <c r="AJ66" s="96">
        <f t="shared" si="27"/>
        <v>9.86</v>
      </c>
      <c r="AK66" s="96">
        <f t="shared" si="28"/>
        <v>9.2649999999999988</v>
      </c>
      <c r="AL66" s="96">
        <f t="shared" si="29"/>
        <v>-1.3209999999999997</v>
      </c>
      <c r="AM66" s="96">
        <f t="shared" si="30"/>
        <v>0.93</v>
      </c>
      <c r="AN66" s="76">
        <f t="shared" si="31"/>
        <v>-103.691</v>
      </c>
      <c r="AO66" s="76">
        <f t="shared" si="32"/>
        <v>-135.94499999999999</v>
      </c>
      <c r="AP66" s="76">
        <f t="shared" si="33"/>
        <v>102.511</v>
      </c>
      <c r="AQ66" s="76">
        <f>SUM(AE66:AH66)</f>
        <v>0</v>
      </c>
    </row>
    <row r="67" spans="1:43" ht="16.5">
      <c r="A67" s="9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J67" s="96"/>
      <c r="AK67" s="96"/>
      <c r="AL67" s="96"/>
      <c r="AM67" s="96"/>
      <c r="AN67" s="76"/>
      <c r="AO67" s="76"/>
      <c r="AP67" s="76">
        <f t="shared" si="33"/>
        <v>0</v>
      </c>
      <c r="AQ67" s="76">
        <f t="shared" si="34"/>
        <v>0</v>
      </c>
    </row>
    <row r="68" spans="1:43" ht="16.5">
      <c r="A68" s="66" t="s">
        <v>147</v>
      </c>
      <c r="B68" s="66" t="s">
        <v>274</v>
      </c>
      <c r="C68" s="97">
        <f t="shared" ref="C68:W68" si="35">SUM(C53:C67)</f>
        <v>-1742.75</v>
      </c>
      <c r="D68" s="97">
        <f t="shared" si="35"/>
        <v>-1331.7440000000001</v>
      </c>
      <c r="E68" s="97">
        <f t="shared" si="35"/>
        <v>441.83000000000004</v>
      </c>
      <c r="F68" s="97">
        <f t="shared" si="35"/>
        <v>206.24000000000009</v>
      </c>
      <c r="G68" s="97">
        <f t="shared" si="35"/>
        <v>699.04399999999998</v>
      </c>
      <c r="H68" s="97">
        <f t="shared" si="35"/>
        <v>-563.49900000000014</v>
      </c>
      <c r="I68" s="97">
        <f t="shared" si="35"/>
        <v>-1063.779</v>
      </c>
      <c r="J68" s="97">
        <f t="shared" si="35"/>
        <v>-814.50100000000009</v>
      </c>
      <c r="K68" s="97">
        <f t="shared" si="35"/>
        <v>-579.12000000000012</v>
      </c>
      <c r="L68" s="97">
        <f t="shared" si="35"/>
        <v>-712.53600000000006</v>
      </c>
      <c r="M68" s="97">
        <f t="shared" si="35"/>
        <v>-1287.1190000000001</v>
      </c>
      <c r="N68" s="97">
        <f t="shared" si="35"/>
        <v>-3275.7090000000003</v>
      </c>
      <c r="O68" s="97">
        <f t="shared" si="35"/>
        <v>-856.428</v>
      </c>
      <c r="P68" s="97">
        <f t="shared" si="35"/>
        <v>-2505.569</v>
      </c>
      <c r="Q68" s="97">
        <f t="shared" si="35"/>
        <v>-1466.9829999999999</v>
      </c>
      <c r="R68" s="97">
        <f t="shared" si="35"/>
        <v>-3004.1549999999997</v>
      </c>
      <c r="S68" s="95">
        <f t="shared" si="35"/>
        <v>-1612.8489999999997</v>
      </c>
      <c r="T68" s="95">
        <f t="shared" si="35"/>
        <v>-3994.337</v>
      </c>
      <c r="U68" s="95">
        <f t="shared" si="35"/>
        <v>-7746.3720000000003</v>
      </c>
      <c r="V68" s="95">
        <f t="shared" si="35"/>
        <v>-5504.8099999999995</v>
      </c>
      <c r="W68" s="95">
        <f t="shared" si="35"/>
        <v>-2914.8070000000002</v>
      </c>
      <c r="X68" s="95">
        <f>SUM(X53:X67)</f>
        <v>-2618.8070000000002</v>
      </c>
      <c r="Y68" s="95">
        <f t="shared" ref="Y68" si="36">SUM(Y53:Y67)</f>
        <v>-2885.0130000000004</v>
      </c>
      <c r="Z68" s="95">
        <f>SUM(Z53:Z67)</f>
        <v>-4706.2139999999999</v>
      </c>
      <c r="AA68" s="95">
        <f>SUM(AA53:AA67)</f>
        <v>-1634.576</v>
      </c>
      <c r="AB68" s="95">
        <v>-1846.9960000000001</v>
      </c>
      <c r="AC68" s="95">
        <v>-1827.6000000000001</v>
      </c>
      <c r="AD68" s="95">
        <f>SUM(AD53:AD67)</f>
        <v>-1715.1090000000002</v>
      </c>
      <c r="AE68" s="95">
        <f>SUM(AE53:AE67)</f>
        <v>-1350.6450000000002</v>
      </c>
      <c r="AF68" s="95">
        <f>SUM(AF53:AF67)</f>
        <v>-1782.883</v>
      </c>
      <c r="AG68" s="95">
        <f>SUM(AG53:AG67)</f>
        <v>-1725.1560000000002</v>
      </c>
      <c r="AH68" s="95">
        <f>SUM(AH53:AH67)</f>
        <v>-2875.3209999999999</v>
      </c>
      <c r="AJ68" s="95">
        <f>SUM(C68:F68)</f>
        <v>-2426.424</v>
      </c>
      <c r="AK68" s="95">
        <f>SUM(G68:J68)</f>
        <v>-1742.7350000000001</v>
      </c>
      <c r="AL68" s="95">
        <f>SUM(K68:N68)</f>
        <v>-5854.4840000000004</v>
      </c>
      <c r="AM68" s="95">
        <f>SUM(O68:R68)</f>
        <v>-7833.1349999999993</v>
      </c>
      <c r="AN68" s="95">
        <f>SUM(S68:V68)</f>
        <v>-18858.368000000002</v>
      </c>
      <c r="AO68" s="95">
        <f>SUM(W68:Z68)</f>
        <v>-13124.841</v>
      </c>
      <c r="AP68" s="95">
        <f>SUM(AA68:AD68)</f>
        <v>-7024.2810000000009</v>
      </c>
      <c r="AQ68" s="95">
        <f>SUM(AE68:AH68)</f>
        <v>-7734.0050000000001</v>
      </c>
    </row>
    <row r="69" spans="1:43">
      <c r="A69" s="14"/>
      <c r="B69" s="14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>
        <v>0</v>
      </c>
      <c r="AA69" s="32"/>
      <c r="AB69" s="32"/>
      <c r="AC69" s="32"/>
      <c r="AD69" s="32"/>
      <c r="AE69" s="32"/>
      <c r="AF69" s="32"/>
      <c r="AG69" s="32"/>
      <c r="AH69" s="32"/>
      <c r="AJ69" s="32"/>
      <c r="AK69" s="32"/>
      <c r="AL69" s="32"/>
      <c r="AM69" s="32"/>
      <c r="AN69" s="32"/>
      <c r="AO69" s="32"/>
      <c r="AP69" s="32"/>
      <c r="AQ69" s="32"/>
    </row>
    <row r="70" spans="1:43" ht="16.5">
      <c r="A70" s="14" t="s">
        <v>148</v>
      </c>
      <c r="B70" s="14" t="s">
        <v>275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J70" s="13"/>
      <c r="AK70" s="13"/>
      <c r="AL70" s="13"/>
      <c r="AM70" s="13"/>
      <c r="AN70" s="13"/>
      <c r="AO70" s="13"/>
      <c r="AP70" s="13"/>
      <c r="AQ70" s="13"/>
    </row>
    <row r="71" spans="1:43" ht="16.5">
      <c r="A71" s="9" t="s">
        <v>149</v>
      </c>
      <c r="B71" s="9" t="s">
        <v>345</v>
      </c>
      <c r="C71" s="76">
        <v>16035.326999999999</v>
      </c>
      <c r="D71" s="76">
        <v>6478.5259999999998</v>
      </c>
      <c r="E71" s="76">
        <v>2766.4630000000002</v>
      </c>
      <c r="F71" s="76">
        <v>1067.8420000000001</v>
      </c>
      <c r="G71" s="76">
        <v>4857.26</v>
      </c>
      <c r="H71" s="76">
        <v>2170.21</v>
      </c>
      <c r="I71" s="76">
        <v>800.59900000000005</v>
      </c>
      <c r="J71" s="76">
        <v>3097.2579999999998</v>
      </c>
      <c r="K71" s="76">
        <v>1522.3989999999999</v>
      </c>
      <c r="L71" s="76">
        <v>19613.681</v>
      </c>
      <c r="M71" s="76">
        <v>10832.218000000001</v>
      </c>
      <c r="N71" s="76">
        <v>3045.7570000000001</v>
      </c>
      <c r="O71" s="76">
        <v>7260.2120000000004</v>
      </c>
      <c r="P71" s="76">
        <v>545.69100000000003</v>
      </c>
      <c r="Q71" s="76">
        <v>1007.7140000000001</v>
      </c>
      <c r="R71" s="76">
        <v>2216.797</v>
      </c>
      <c r="S71" s="76">
        <v>5783.7640000000001</v>
      </c>
      <c r="T71" s="76">
        <v>20141.236000000001</v>
      </c>
      <c r="U71" s="76">
        <v>10797.727000000001</v>
      </c>
      <c r="V71" s="76">
        <v>17058.781999999999</v>
      </c>
      <c r="W71" s="76">
        <v>11690.067999999999</v>
      </c>
      <c r="X71" s="76">
        <v>16391.121999999999</v>
      </c>
      <c r="Y71" s="76">
        <v>10691.477999999999</v>
      </c>
      <c r="Z71" s="76">
        <v>2155.0259999999998</v>
      </c>
      <c r="AA71" s="76">
        <v>5127.5039999999999</v>
      </c>
      <c r="AB71" s="76">
        <v>15618.81</v>
      </c>
      <c r="AC71" s="76">
        <v>19300.762999999999</v>
      </c>
      <c r="AD71" s="76">
        <v>4653.7259999999997</v>
      </c>
      <c r="AE71" s="76">
        <v>348.84199999999998</v>
      </c>
      <c r="AF71" s="76">
        <v>3225.65</v>
      </c>
      <c r="AG71" s="76">
        <v>7464.71</v>
      </c>
      <c r="AH71" s="76">
        <v>5500.7709999999997</v>
      </c>
      <c r="AJ71" s="76">
        <f t="shared" ref="AJ71:AJ84" si="37">SUM(C71:F71)</f>
        <v>26348.157999999999</v>
      </c>
      <c r="AK71" s="76">
        <f t="shared" ref="AK71:AK84" si="38">SUM(G71:J71)</f>
        <v>10925.327000000001</v>
      </c>
      <c r="AL71" s="76">
        <f t="shared" ref="AL71:AL84" si="39">SUM(K71:N71)</f>
        <v>35014.055</v>
      </c>
      <c r="AM71" s="76">
        <f t="shared" ref="AM71:AM84" si="40">SUM(O71:R71)</f>
        <v>11030.414000000001</v>
      </c>
      <c r="AN71" s="76">
        <f t="shared" ref="AN71:AN84" si="41">SUM(S71:V71)</f>
        <v>53781.508999999998</v>
      </c>
      <c r="AO71" s="76">
        <f t="shared" ref="AO71:AO84" si="42">SUM(W71:Z71)</f>
        <v>40927.693999999996</v>
      </c>
      <c r="AP71" s="76">
        <f t="shared" ref="AP71:AP84" si="43">SUM(AA71:AD71)</f>
        <v>44700.803</v>
      </c>
      <c r="AQ71" s="76">
        <f>SUM(AE71:AH71)</f>
        <v>16539.973000000002</v>
      </c>
    </row>
    <row r="72" spans="1:43" ht="16.5">
      <c r="A72" s="9" t="s">
        <v>150</v>
      </c>
      <c r="B72" s="9" t="s">
        <v>346</v>
      </c>
      <c r="C72" s="76">
        <v>-12603.146000000001</v>
      </c>
      <c r="D72" s="76">
        <v>-5603.8360000000002</v>
      </c>
      <c r="E72" s="76">
        <v>-2673.3530000000001</v>
      </c>
      <c r="F72" s="76">
        <v>-5796.4549999999999</v>
      </c>
      <c r="G72" s="76">
        <v>-5703.3320000000003</v>
      </c>
      <c r="H72" s="76">
        <v>-3150.8760000000002</v>
      </c>
      <c r="I72" s="76">
        <v>-5022.6629999999996</v>
      </c>
      <c r="J72" s="76">
        <v>-6547.7359999999999</v>
      </c>
      <c r="K72" s="76">
        <v>-1822.8030000000001</v>
      </c>
      <c r="L72" s="76">
        <v>-23988.151000000002</v>
      </c>
      <c r="M72" s="76">
        <v>-12615.382</v>
      </c>
      <c r="N72" s="76">
        <v>-1630.337</v>
      </c>
      <c r="O72" s="76">
        <v>-532.22699999999998</v>
      </c>
      <c r="P72" s="76">
        <v>-3134.6790000000001</v>
      </c>
      <c r="Q72" s="76">
        <v>-6214.0420000000004</v>
      </c>
      <c r="R72" s="76">
        <v>-5170.2269999999999</v>
      </c>
      <c r="S72" s="76">
        <v>-9827.1869999999999</v>
      </c>
      <c r="T72" s="76">
        <v>-8769.8770000000004</v>
      </c>
      <c r="U72" s="76">
        <v>-3485.46</v>
      </c>
      <c r="V72" s="76">
        <v>-12026.188</v>
      </c>
      <c r="W72" s="76">
        <v>-8081.3739999999998</v>
      </c>
      <c r="X72" s="76">
        <v>-11795.635</v>
      </c>
      <c r="Y72" s="76">
        <v>-16223.293</v>
      </c>
      <c r="Z72" s="76">
        <v>-2319.2919999999999</v>
      </c>
      <c r="AA72" s="76">
        <v>-2571.6109999999999</v>
      </c>
      <c r="AB72" s="76">
        <v>-10426.351000000001</v>
      </c>
      <c r="AC72" s="76">
        <v>-8812.7450000000008</v>
      </c>
      <c r="AD72" s="76">
        <v>-13300.949000000001</v>
      </c>
      <c r="AE72" s="76">
        <v>-3312.0149999999999</v>
      </c>
      <c r="AF72" s="76">
        <v>-5562.2659999999996</v>
      </c>
      <c r="AG72" s="76">
        <v>-5006.8810000000003</v>
      </c>
      <c r="AH72" s="76">
        <v>-2059.9029999999998</v>
      </c>
      <c r="AJ72" s="76">
        <f t="shared" si="37"/>
        <v>-26676.79</v>
      </c>
      <c r="AK72" s="76">
        <f t="shared" si="38"/>
        <v>-20424.607</v>
      </c>
      <c r="AL72" s="76">
        <f t="shared" si="39"/>
        <v>-40056.673000000003</v>
      </c>
      <c r="AM72" s="76">
        <f t="shared" si="40"/>
        <v>-15051.174999999999</v>
      </c>
      <c r="AN72" s="76">
        <f t="shared" si="41"/>
        <v>-34108.712</v>
      </c>
      <c r="AO72" s="76">
        <f t="shared" si="42"/>
        <v>-38419.593999999997</v>
      </c>
      <c r="AP72" s="76">
        <f t="shared" si="43"/>
        <v>-35111.656000000003</v>
      </c>
      <c r="AQ72" s="76">
        <f t="shared" ref="AQ72:AQ84" si="44">SUM(AE72:AH72)</f>
        <v>-15941.065000000001</v>
      </c>
    </row>
    <row r="73" spans="1:43" ht="16.5">
      <c r="A73" s="9" t="s">
        <v>151</v>
      </c>
      <c r="B73" s="9" t="s">
        <v>347</v>
      </c>
      <c r="C73" s="76">
        <v>64.185000000000002</v>
      </c>
      <c r="D73" s="76">
        <v>199.49299999999999</v>
      </c>
      <c r="E73" s="76">
        <v>-168.89599999999999</v>
      </c>
      <c r="F73" s="76">
        <v>0.52200000000000002</v>
      </c>
      <c r="G73" s="76">
        <v>-6.3019999999999996</v>
      </c>
      <c r="H73" s="76">
        <v>-7.2720000000000002</v>
      </c>
      <c r="I73" s="76">
        <v>461.76100000000002</v>
      </c>
      <c r="J73" s="76">
        <v>-316.10399999999998</v>
      </c>
      <c r="K73" s="76">
        <v>-171.649</v>
      </c>
      <c r="L73" s="76">
        <v>41.149000000000001</v>
      </c>
      <c r="M73" s="76">
        <v>115.386</v>
      </c>
      <c r="N73" s="76">
        <v>14.237</v>
      </c>
      <c r="O73" s="76">
        <v>80.174999999999997</v>
      </c>
      <c r="P73" s="76">
        <v>22.227</v>
      </c>
      <c r="Q73" s="76">
        <v>-70.540000000000006</v>
      </c>
      <c r="R73" s="76">
        <v>-193.66800000000001</v>
      </c>
      <c r="S73" s="76">
        <v>63.454000000000001</v>
      </c>
      <c r="T73" s="76">
        <v>-333.57900000000001</v>
      </c>
      <c r="U73" s="76">
        <v>6.3890000000000002</v>
      </c>
      <c r="V73" s="76">
        <v>446.197</v>
      </c>
      <c r="W73" s="76">
        <v>-678.428</v>
      </c>
      <c r="X73" s="76">
        <v>-447.988</v>
      </c>
      <c r="Y73" s="76">
        <v>-12.904999999999999</v>
      </c>
      <c r="Z73" s="76">
        <v>-202.858</v>
      </c>
      <c r="AA73" s="76">
        <v>89.850999999999999</v>
      </c>
      <c r="AB73" s="76">
        <v>-136.92099999999999</v>
      </c>
      <c r="AC73" s="76">
        <v>-57.046999999999997</v>
      </c>
      <c r="AD73" s="76">
        <v>46.067999999999998</v>
      </c>
      <c r="AE73" s="76">
        <v>-36.97</v>
      </c>
      <c r="AF73" s="76">
        <v>-695.98599999999999</v>
      </c>
      <c r="AG73" s="76">
        <v>-175.64</v>
      </c>
      <c r="AH73" s="76">
        <v>-347.21100000000001</v>
      </c>
      <c r="AI73" s="9"/>
      <c r="AJ73" s="76">
        <f t="shared" si="37"/>
        <v>95.304000000000016</v>
      </c>
      <c r="AK73" s="76">
        <f t="shared" si="38"/>
        <v>132.08300000000003</v>
      </c>
      <c r="AL73" s="76">
        <f t="shared" si="39"/>
        <v>-0.87700000000000422</v>
      </c>
      <c r="AM73" s="76">
        <f t="shared" si="40"/>
        <v>-161.80600000000001</v>
      </c>
      <c r="AN73" s="76">
        <f t="shared" si="41"/>
        <v>182.46100000000001</v>
      </c>
      <c r="AO73" s="76">
        <f t="shared" si="42"/>
        <v>-1342.1789999999999</v>
      </c>
      <c r="AP73" s="76">
        <f t="shared" si="43"/>
        <v>-58.048999999999992</v>
      </c>
      <c r="AQ73" s="76">
        <f t="shared" si="44"/>
        <v>-1255.807</v>
      </c>
    </row>
    <row r="74" spans="1:43" ht="16.5">
      <c r="A74" s="9" t="s">
        <v>152</v>
      </c>
      <c r="B74" s="9" t="s">
        <v>348</v>
      </c>
      <c r="C74" s="76">
        <v>0</v>
      </c>
      <c r="D74" s="76">
        <v>-93.353999999999999</v>
      </c>
      <c r="E74" s="76">
        <v>0</v>
      </c>
      <c r="F74" s="76">
        <v>0</v>
      </c>
      <c r="G74" s="76">
        <v>0</v>
      </c>
      <c r="H74" s="76">
        <v>-126.863</v>
      </c>
      <c r="I74" s="76">
        <v>-1.9E-2</v>
      </c>
      <c r="J74" s="76">
        <v>0</v>
      </c>
      <c r="K74" s="76">
        <v>0</v>
      </c>
      <c r="L74" s="76">
        <v>-5.9829999999999997</v>
      </c>
      <c r="M74" s="76">
        <v>0</v>
      </c>
      <c r="N74" s="76">
        <v>0</v>
      </c>
      <c r="O74" s="76">
        <v>0</v>
      </c>
      <c r="P74" s="76">
        <v>-1441.1769999999999</v>
      </c>
      <c r="Q74" s="76">
        <v>0</v>
      </c>
      <c r="R74" s="76">
        <v>0</v>
      </c>
      <c r="S74" s="76">
        <v>0</v>
      </c>
      <c r="T74" s="76">
        <v>-2511.1030000000001</v>
      </c>
      <c r="U74" s="76">
        <v>-2510.962</v>
      </c>
      <c r="V74" s="76">
        <v>-2373.8670000000002</v>
      </c>
      <c r="W74" s="76">
        <v>-0.01</v>
      </c>
      <c r="X74" s="76">
        <v>-2218.116</v>
      </c>
      <c r="Y74" s="76">
        <v>0</v>
      </c>
      <c r="Z74" s="76">
        <v>-2218.116</v>
      </c>
      <c r="AA74" s="76">
        <v>0</v>
      </c>
      <c r="AB74" s="76">
        <v>-2218.116</v>
      </c>
      <c r="AC74" s="76">
        <v>0</v>
      </c>
      <c r="AD74" s="76">
        <v>0</v>
      </c>
      <c r="AE74" s="76">
        <v>0</v>
      </c>
      <c r="AF74" s="76">
        <v>0</v>
      </c>
      <c r="AG74" s="76">
        <v>0</v>
      </c>
      <c r="AH74" s="76">
        <v>-4436.3919999999998</v>
      </c>
      <c r="AI74" s="9"/>
      <c r="AJ74" s="76">
        <f t="shared" si="37"/>
        <v>-93.353999999999999</v>
      </c>
      <c r="AK74" s="76">
        <f t="shared" si="38"/>
        <v>-126.88200000000001</v>
      </c>
      <c r="AL74" s="76">
        <f t="shared" si="39"/>
        <v>-5.9829999999999997</v>
      </c>
      <c r="AM74" s="76">
        <f t="shared" si="40"/>
        <v>-1441.1769999999999</v>
      </c>
      <c r="AN74" s="76">
        <f t="shared" si="41"/>
        <v>-7395.9320000000007</v>
      </c>
      <c r="AO74" s="76">
        <f t="shared" si="42"/>
        <v>-4436.2420000000002</v>
      </c>
      <c r="AP74" s="76">
        <f t="shared" si="43"/>
        <v>-2218.116</v>
      </c>
      <c r="AQ74" s="76">
        <f t="shared" si="44"/>
        <v>-4436.3919999999998</v>
      </c>
    </row>
    <row r="75" spans="1:43" ht="16.5">
      <c r="A75" s="9" t="s">
        <v>153</v>
      </c>
      <c r="B75" s="9" t="s">
        <v>276</v>
      </c>
      <c r="C75" s="76">
        <v>0</v>
      </c>
      <c r="D75" s="76">
        <v>-3.3420000000000001</v>
      </c>
      <c r="E75" s="76">
        <v>0</v>
      </c>
      <c r="F75" s="76">
        <v>-5.0469999999999997</v>
      </c>
      <c r="G75" s="76">
        <v>-1.4139999999999999</v>
      </c>
      <c r="H75" s="76">
        <v>-3.1040000000000001</v>
      </c>
      <c r="I75" s="76">
        <v>0</v>
      </c>
      <c r="J75" s="76">
        <v>-3.6949999999999998</v>
      </c>
      <c r="K75" s="76">
        <v>0</v>
      </c>
      <c r="L75" s="76">
        <v>-3.8839999999999999</v>
      </c>
      <c r="M75" s="76">
        <v>-0.54</v>
      </c>
      <c r="N75" s="76">
        <v>-5.3689999999999998</v>
      </c>
      <c r="O75" s="76">
        <v>0</v>
      </c>
      <c r="P75" s="76">
        <v>0</v>
      </c>
      <c r="Q75" s="76">
        <v>-1.9319999999999999</v>
      </c>
      <c r="R75" s="76">
        <v>-1.5589999999999999</v>
      </c>
      <c r="S75" s="76">
        <v>-9.3149999999999995</v>
      </c>
      <c r="T75" s="76">
        <v>-5.3760000000000003</v>
      </c>
      <c r="U75" s="76">
        <v>0.23899999999999999</v>
      </c>
      <c r="V75" s="76">
        <v>-14.978999999999999</v>
      </c>
      <c r="W75" s="76">
        <v>-3.7360000000000002</v>
      </c>
      <c r="X75" s="76">
        <v>-5.8559999999999999</v>
      </c>
      <c r="Y75" s="76">
        <v>0</v>
      </c>
      <c r="Z75" s="76">
        <v>-16.28</v>
      </c>
      <c r="AA75" s="76">
        <v>-12.12</v>
      </c>
      <c r="AB75" s="76">
        <v>-10.542</v>
      </c>
      <c r="AC75" s="76">
        <v>-0.94</v>
      </c>
      <c r="AD75" s="76">
        <v>-5.9630000000000001</v>
      </c>
      <c r="AE75" s="76">
        <v>-3.883</v>
      </c>
      <c r="AF75" s="76">
        <v>-13.638</v>
      </c>
      <c r="AG75" s="76">
        <v>1.504</v>
      </c>
      <c r="AH75" s="76">
        <v>-6.83</v>
      </c>
      <c r="AI75" s="9"/>
      <c r="AJ75" s="76">
        <f t="shared" si="37"/>
        <v>-8.3889999999999993</v>
      </c>
      <c r="AK75" s="76">
        <f t="shared" si="38"/>
        <v>-8.2129999999999992</v>
      </c>
      <c r="AL75" s="76">
        <f t="shared" si="39"/>
        <v>-9.7929999999999993</v>
      </c>
      <c r="AM75" s="76">
        <f t="shared" si="40"/>
        <v>-3.4909999999999997</v>
      </c>
      <c r="AN75" s="76">
        <f t="shared" si="41"/>
        <v>-29.430999999999997</v>
      </c>
      <c r="AO75" s="76">
        <f t="shared" si="42"/>
        <v>-25.872</v>
      </c>
      <c r="AP75" s="76">
        <f t="shared" si="43"/>
        <v>-29.565000000000001</v>
      </c>
      <c r="AQ75" s="76">
        <f t="shared" si="44"/>
        <v>-22.847000000000001</v>
      </c>
    </row>
    <row r="76" spans="1:43" ht="16.5">
      <c r="A76" s="9" t="s">
        <v>154</v>
      </c>
      <c r="B76" s="9" t="s">
        <v>277</v>
      </c>
      <c r="C76" s="76">
        <v>-45.825000000000003</v>
      </c>
      <c r="D76" s="76">
        <v>-15.361000000000001</v>
      </c>
      <c r="E76" s="76">
        <v>0</v>
      </c>
      <c r="F76" s="76">
        <v>0</v>
      </c>
      <c r="G76" s="76">
        <v>0</v>
      </c>
      <c r="H76" s="76">
        <v>0</v>
      </c>
      <c r="I76" s="76">
        <v>0</v>
      </c>
      <c r="J76" s="76">
        <v>-0.89900000000000002</v>
      </c>
      <c r="K76" s="76">
        <v>0</v>
      </c>
      <c r="L76" s="76">
        <v>-11.356999999999999</v>
      </c>
      <c r="M76" s="76">
        <v>0</v>
      </c>
      <c r="N76" s="76">
        <v>0</v>
      </c>
      <c r="O76" s="76">
        <v>-120.369</v>
      </c>
      <c r="P76" s="76">
        <v>-258.31599999999997</v>
      </c>
      <c r="Q76" s="76">
        <v>-155.346</v>
      </c>
      <c r="R76" s="76">
        <v>-12.859</v>
      </c>
      <c r="S76" s="76">
        <v>0</v>
      </c>
      <c r="T76" s="76">
        <v>0</v>
      </c>
      <c r="U76" s="76">
        <v>0</v>
      </c>
      <c r="V76" s="76">
        <v>0</v>
      </c>
      <c r="W76" s="76">
        <v>-139.078</v>
      </c>
      <c r="X76" s="76">
        <v>-443.38099999999997</v>
      </c>
      <c r="Y76" s="76">
        <v>-383.524</v>
      </c>
      <c r="Z76" s="76">
        <v>-1.4999999999999999E-2</v>
      </c>
      <c r="AA76" s="76">
        <v>0</v>
      </c>
      <c r="AB76" s="76">
        <v>0</v>
      </c>
      <c r="AC76" s="76">
        <v>0</v>
      </c>
      <c r="AD76" s="76">
        <v>0</v>
      </c>
      <c r="AE76" s="76">
        <v>0</v>
      </c>
      <c r="AF76" s="76">
        <v>0</v>
      </c>
      <c r="AG76" s="76">
        <v>0</v>
      </c>
      <c r="AH76" s="76">
        <v>0</v>
      </c>
      <c r="AI76" s="9"/>
      <c r="AJ76" s="76">
        <f t="shared" si="37"/>
        <v>-61.186000000000007</v>
      </c>
      <c r="AK76" s="76">
        <f t="shared" si="38"/>
        <v>-0.89900000000000002</v>
      </c>
      <c r="AL76" s="76">
        <f t="shared" si="39"/>
        <v>-11.356999999999999</v>
      </c>
      <c r="AM76" s="76">
        <f t="shared" si="40"/>
        <v>-546.89</v>
      </c>
      <c r="AN76" s="76">
        <f t="shared" si="41"/>
        <v>0</v>
      </c>
      <c r="AO76" s="76">
        <f t="shared" si="42"/>
        <v>-965.99799999999993</v>
      </c>
      <c r="AP76" s="76">
        <f t="shared" si="43"/>
        <v>0</v>
      </c>
      <c r="AQ76" s="76">
        <f t="shared" si="44"/>
        <v>0</v>
      </c>
    </row>
    <row r="77" spans="1:43" ht="16.5">
      <c r="A77" s="9" t="s">
        <v>155</v>
      </c>
      <c r="B77" s="9" t="s">
        <v>278</v>
      </c>
      <c r="C77" s="76">
        <v>0</v>
      </c>
      <c r="D77" s="76">
        <v>0</v>
      </c>
      <c r="E77" s="76">
        <v>0</v>
      </c>
      <c r="F77" s="76">
        <v>0</v>
      </c>
      <c r="G77" s="76">
        <v>0</v>
      </c>
      <c r="H77" s="76">
        <v>0</v>
      </c>
      <c r="I77" s="76">
        <v>0</v>
      </c>
      <c r="J77" s="76">
        <v>5.4139999999999997</v>
      </c>
      <c r="K77" s="76">
        <v>0</v>
      </c>
      <c r="L77" s="76">
        <v>0</v>
      </c>
      <c r="M77" s="76">
        <v>0</v>
      </c>
      <c r="N77" s="76">
        <v>0</v>
      </c>
      <c r="O77" s="76">
        <v>0</v>
      </c>
      <c r="P77" s="76">
        <v>0</v>
      </c>
      <c r="Q77" s="76">
        <v>0</v>
      </c>
      <c r="R77" s="76">
        <v>0</v>
      </c>
      <c r="S77" s="76">
        <v>0</v>
      </c>
      <c r="T77" s="76">
        <v>0</v>
      </c>
      <c r="U77" s="76">
        <v>0</v>
      </c>
      <c r="V77" s="76">
        <v>0</v>
      </c>
      <c r="W77" s="76">
        <v>0</v>
      </c>
      <c r="X77" s="76">
        <v>0</v>
      </c>
      <c r="Y77" s="76">
        <v>0</v>
      </c>
      <c r="Z77" s="76">
        <v>0</v>
      </c>
      <c r="AA77" s="76">
        <v>0</v>
      </c>
      <c r="AB77" s="76">
        <v>0</v>
      </c>
      <c r="AC77" s="76">
        <v>0</v>
      </c>
      <c r="AD77" s="76">
        <v>0</v>
      </c>
      <c r="AE77" s="76">
        <v>0</v>
      </c>
      <c r="AF77" s="76">
        <v>0</v>
      </c>
      <c r="AG77" s="76">
        <v>0</v>
      </c>
      <c r="AH77" s="76">
        <v>0</v>
      </c>
      <c r="AJ77" s="76">
        <f t="shared" si="37"/>
        <v>0</v>
      </c>
      <c r="AK77" s="76">
        <f t="shared" si="38"/>
        <v>5.4139999999999997</v>
      </c>
      <c r="AL77" s="76">
        <f t="shared" si="39"/>
        <v>0</v>
      </c>
      <c r="AM77" s="76">
        <f t="shared" si="40"/>
        <v>0</v>
      </c>
      <c r="AN77" s="76">
        <f t="shared" si="41"/>
        <v>0</v>
      </c>
      <c r="AO77" s="76">
        <f t="shared" si="42"/>
        <v>0</v>
      </c>
      <c r="AP77" s="76">
        <f t="shared" si="43"/>
        <v>0</v>
      </c>
      <c r="AQ77" s="76">
        <f t="shared" si="44"/>
        <v>0</v>
      </c>
    </row>
    <row r="78" spans="1:43" ht="16.5">
      <c r="A78" s="9" t="s">
        <v>156</v>
      </c>
      <c r="B78" s="9" t="s">
        <v>279</v>
      </c>
      <c r="C78" s="76">
        <v>0</v>
      </c>
      <c r="D78" s="76">
        <v>0</v>
      </c>
      <c r="E78" s="76">
        <v>0</v>
      </c>
      <c r="F78" s="76">
        <v>0</v>
      </c>
      <c r="G78" s="76">
        <v>0</v>
      </c>
      <c r="H78" s="76">
        <v>0</v>
      </c>
      <c r="I78" s="76">
        <v>0</v>
      </c>
      <c r="J78" s="76">
        <v>0</v>
      </c>
      <c r="K78" s="76">
        <v>0</v>
      </c>
      <c r="L78" s="76">
        <v>0</v>
      </c>
      <c r="M78" s="76">
        <v>0</v>
      </c>
      <c r="N78" s="76">
        <v>0</v>
      </c>
      <c r="O78" s="76">
        <v>0</v>
      </c>
      <c r="P78" s="76">
        <v>0</v>
      </c>
      <c r="Q78" s="76">
        <v>0</v>
      </c>
      <c r="R78" s="76">
        <v>0</v>
      </c>
      <c r="S78" s="76">
        <v>0</v>
      </c>
      <c r="T78" s="76">
        <v>0</v>
      </c>
      <c r="U78" s="76">
        <v>0</v>
      </c>
      <c r="V78" s="76">
        <v>0</v>
      </c>
      <c r="W78" s="76">
        <v>0</v>
      </c>
      <c r="X78" s="76">
        <v>0</v>
      </c>
      <c r="Y78" s="76">
        <v>0</v>
      </c>
      <c r="Z78" s="76">
        <v>0</v>
      </c>
      <c r="AA78" s="76">
        <v>0</v>
      </c>
      <c r="AB78" s="76">
        <v>0</v>
      </c>
      <c r="AC78" s="76">
        <v>0</v>
      </c>
      <c r="AD78" s="76">
        <v>0</v>
      </c>
      <c r="AE78" s="76">
        <v>0</v>
      </c>
      <c r="AF78" s="76">
        <v>0</v>
      </c>
      <c r="AG78" s="76">
        <v>0</v>
      </c>
      <c r="AH78" s="76">
        <v>0</v>
      </c>
      <c r="AI78" s="9"/>
      <c r="AJ78" s="76">
        <f t="shared" si="37"/>
        <v>0</v>
      </c>
      <c r="AK78" s="76">
        <f t="shared" si="38"/>
        <v>0</v>
      </c>
      <c r="AL78" s="76">
        <f t="shared" si="39"/>
        <v>0</v>
      </c>
      <c r="AM78" s="76">
        <f t="shared" si="40"/>
        <v>0</v>
      </c>
      <c r="AN78" s="76">
        <f t="shared" si="41"/>
        <v>0</v>
      </c>
      <c r="AO78" s="76">
        <f t="shared" si="42"/>
        <v>0</v>
      </c>
      <c r="AP78" s="76">
        <f t="shared" si="43"/>
        <v>0</v>
      </c>
      <c r="AQ78" s="76">
        <f t="shared" si="44"/>
        <v>0</v>
      </c>
    </row>
    <row r="79" spans="1:43" ht="16.5">
      <c r="A79" s="9" t="s">
        <v>184</v>
      </c>
      <c r="B79" s="9" t="s">
        <v>197</v>
      </c>
      <c r="C79" s="76">
        <v>0</v>
      </c>
      <c r="D79" s="76">
        <v>0</v>
      </c>
      <c r="E79" s="76">
        <v>0</v>
      </c>
      <c r="F79" s="76">
        <v>0</v>
      </c>
      <c r="G79" s="76">
        <v>0</v>
      </c>
      <c r="H79" s="76">
        <v>0</v>
      </c>
      <c r="I79" s="76">
        <v>0</v>
      </c>
      <c r="J79" s="76">
        <v>0</v>
      </c>
      <c r="K79" s="76">
        <v>0</v>
      </c>
      <c r="L79" s="76">
        <v>0</v>
      </c>
      <c r="M79" s="76">
        <v>0</v>
      </c>
      <c r="N79" s="76">
        <v>0</v>
      </c>
      <c r="O79" s="76">
        <v>0</v>
      </c>
      <c r="P79" s="76">
        <v>0</v>
      </c>
      <c r="Q79" s="76">
        <v>0</v>
      </c>
      <c r="R79" s="76">
        <v>0</v>
      </c>
      <c r="S79" s="76">
        <v>0</v>
      </c>
      <c r="T79" s="76">
        <v>-1281.133</v>
      </c>
      <c r="U79" s="76">
        <v>596.27200000000005</v>
      </c>
      <c r="V79" s="76">
        <v>-45.323999999999998</v>
      </c>
      <c r="W79" s="76">
        <v>357.04</v>
      </c>
      <c r="X79" s="76">
        <v>70.277000000000001</v>
      </c>
      <c r="Y79" s="76">
        <v>84.546000000000006</v>
      </c>
      <c r="Z79" s="76">
        <v>58.424999999999997</v>
      </c>
      <c r="AA79" s="76">
        <v>38.22</v>
      </c>
      <c r="AB79" s="76">
        <v>-97.941000000000003</v>
      </c>
      <c r="AC79" s="76">
        <v>53.622999999999998</v>
      </c>
      <c r="AD79" s="76">
        <v>-124.661</v>
      </c>
      <c r="AE79" s="76">
        <v>65.072999999999993</v>
      </c>
      <c r="AF79" s="76">
        <v>-58.994</v>
      </c>
      <c r="AG79" s="76">
        <v>-16.59</v>
      </c>
      <c r="AH79" s="76">
        <v>124.223</v>
      </c>
      <c r="AI79" s="9"/>
      <c r="AJ79" s="76">
        <f t="shared" si="37"/>
        <v>0</v>
      </c>
      <c r="AK79" s="76">
        <f t="shared" si="38"/>
        <v>0</v>
      </c>
      <c r="AL79" s="76">
        <f t="shared" si="39"/>
        <v>0</v>
      </c>
      <c r="AM79" s="76">
        <f t="shared" si="40"/>
        <v>0</v>
      </c>
      <c r="AN79" s="76">
        <f t="shared" si="41"/>
        <v>-730.18499999999995</v>
      </c>
      <c r="AO79" s="76">
        <f t="shared" si="42"/>
        <v>570.28800000000001</v>
      </c>
      <c r="AP79" s="76">
        <f t="shared" si="43"/>
        <v>-130.75900000000001</v>
      </c>
      <c r="AQ79" s="76">
        <f t="shared" si="44"/>
        <v>113.71199999999999</v>
      </c>
    </row>
    <row r="80" spans="1:43" ht="16.5">
      <c r="A80" s="9" t="s">
        <v>157</v>
      </c>
      <c r="B80" s="9" t="s">
        <v>280</v>
      </c>
      <c r="C80" s="76">
        <v>0</v>
      </c>
      <c r="D80" s="76">
        <v>-255.93700000000001</v>
      </c>
      <c r="E80" s="76">
        <v>0</v>
      </c>
      <c r="F80" s="76">
        <v>0</v>
      </c>
      <c r="G80" s="76">
        <v>0</v>
      </c>
      <c r="H80" s="76">
        <v>0</v>
      </c>
      <c r="I80" s="76">
        <v>0</v>
      </c>
      <c r="J80" s="76">
        <v>-498.19499999999999</v>
      </c>
      <c r="K80" s="76">
        <v>0</v>
      </c>
      <c r="L80" s="76">
        <v>0</v>
      </c>
      <c r="M80" s="76">
        <v>0</v>
      </c>
      <c r="N80" s="76">
        <v>0</v>
      </c>
      <c r="O80" s="76">
        <v>0</v>
      </c>
      <c r="P80" s="76">
        <v>0</v>
      </c>
      <c r="Q80" s="76">
        <v>-239.52799999999999</v>
      </c>
      <c r="R80" s="76">
        <v>-1033.183</v>
      </c>
      <c r="S80" s="76">
        <v>-2902.3380000000002</v>
      </c>
      <c r="T80" s="76">
        <v>-944.74199999999996</v>
      </c>
      <c r="U80" s="76">
        <v>-2476.3939999999998</v>
      </c>
      <c r="V80" s="76">
        <v>-4281.5010000000002</v>
      </c>
      <c r="W80" s="76">
        <v>-1811.1010000000001</v>
      </c>
      <c r="X80" s="76">
        <v>-1836.9269999999999</v>
      </c>
      <c r="Y80" s="76">
        <v>0</v>
      </c>
      <c r="Z80" s="76">
        <v>0</v>
      </c>
      <c r="AA80" s="76">
        <v>0</v>
      </c>
      <c r="AB80" s="76">
        <v>0</v>
      </c>
      <c r="AC80" s="76">
        <v>0</v>
      </c>
      <c r="AD80" s="76">
        <v>0</v>
      </c>
      <c r="AE80" s="76">
        <v>0</v>
      </c>
      <c r="AF80" s="76">
        <v>0</v>
      </c>
      <c r="AG80" s="76">
        <v>0</v>
      </c>
      <c r="AH80" s="76">
        <v>0</v>
      </c>
      <c r="AI80" s="9"/>
      <c r="AJ80" s="76">
        <f t="shared" si="37"/>
        <v>-255.93700000000001</v>
      </c>
      <c r="AK80" s="76">
        <f t="shared" si="38"/>
        <v>-498.19499999999999</v>
      </c>
      <c r="AL80" s="76">
        <f t="shared" si="39"/>
        <v>0</v>
      </c>
      <c r="AM80" s="76">
        <f t="shared" si="40"/>
        <v>-1272.711</v>
      </c>
      <c r="AN80" s="76">
        <f t="shared" si="41"/>
        <v>-10604.975</v>
      </c>
      <c r="AO80" s="76">
        <f t="shared" si="42"/>
        <v>-3648.0280000000002</v>
      </c>
      <c r="AP80" s="76">
        <f t="shared" si="43"/>
        <v>0</v>
      </c>
      <c r="AQ80" s="76">
        <f t="shared" si="44"/>
        <v>0</v>
      </c>
    </row>
    <row r="81" spans="1:43" ht="16.5">
      <c r="A81" s="9" t="s">
        <v>186</v>
      </c>
      <c r="B81" s="9" t="s">
        <v>281</v>
      </c>
      <c r="C81" s="76">
        <v>0</v>
      </c>
      <c r="D81" s="76">
        <v>0</v>
      </c>
      <c r="E81" s="76">
        <v>0</v>
      </c>
      <c r="F81" s="76">
        <v>0</v>
      </c>
      <c r="G81" s="76">
        <v>0</v>
      </c>
      <c r="H81" s="76">
        <v>0</v>
      </c>
      <c r="I81" s="76">
        <v>0</v>
      </c>
      <c r="J81" s="76">
        <v>0</v>
      </c>
      <c r="K81" s="76">
        <v>0</v>
      </c>
      <c r="L81" s="76">
        <v>0</v>
      </c>
      <c r="M81" s="76">
        <v>0</v>
      </c>
      <c r="N81" s="76">
        <v>0</v>
      </c>
      <c r="O81" s="76">
        <v>0</v>
      </c>
      <c r="P81" s="76">
        <v>0</v>
      </c>
      <c r="Q81" s="76">
        <v>0</v>
      </c>
      <c r="R81" s="76">
        <v>0</v>
      </c>
      <c r="S81" s="76">
        <v>0</v>
      </c>
      <c r="T81" s="76">
        <v>1241.251</v>
      </c>
      <c r="U81" s="76">
        <v>1237.079</v>
      </c>
      <c r="V81" s="76">
        <v>-2478.33</v>
      </c>
      <c r="W81" s="76">
        <v>0</v>
      </c>
      <c r="X81" s="76">
        <v>824.25</v>
      </c>
      <c r="Y81" s="76">
        <v>0</v>
      </c>
      <c r="Z81" s="76">
        <v>0</v>
      </c>
      <c r="AA81" s="76">
        <v>0</v>
      </c>
      <c r="AB81" s="76">
        <v>0</v>
      </c>
      <c r="AC81" s="76">
        <v>0</v>
      </c>
      <c r="AD81" s="76">
        <v>0</v>
      </c>
      <c r="AE81" s="76">
        <v>0</v>
      </c>
      <c r="AF81" s="76">
        <v>0</v>
      </c>
      <c r="AG81" s="76">
        <v>0</v>
      </c>
      <c r="AH81" s="76">
        <v>0</v>
      </c>
      <c r="AI81" s="9"/>
      <c r="AJ81" s="76">
        <f t="shared" si="37"/>
        <v>0</v>
      </c>
      <c r="AK81" s="76">
        <f t="shared" si="38"/>
        <v>0</v>
      </c>
      <c r="AL81" s="76">
        <f t="shared" si="39"/>
        <v>0</v>
      </c>
      <c r="AM81" s="76">
        <f t="shared" si="40"/>
        <v>0</v>
      </c>
      <c r="AN81" s="76">
        <f t="shared" si="41"/>
        <v>0</v>
      </c>
      <c r="AO81" s="76">
        <f t="shared" si="42"/>
        <v>824.25</v>
      </c>
      <c r="AP81" s="76">
        <f t="shared" si="43"/>
        <v>0</v>
      </c>
      <c r="AQ81" s="76">
        <f t="shared" si="44"/>
        <v>0</v>
      </c>
    </row>
    <row r="82" spans="1:43" ht="16.5">
      <c r="A82" s="9" t="s">
        <v>158</v>
      </c>
      <c r="B82" s="9" t="s">
        <v>349</v>
      </c>
      <c r="C82" s="76">
        <v>0</v>
      </c>
      <c r="D82" s="76">
        <v>0</v>
      </c>
      <c r="E82" s="76">
        <v>0</v>
      </c>
      <c r="F82" s="76">
        <v>0</v>
      </c>
      <c r="G82" s="76">
        <v>0</v>
      </c>
      <c r="H82" s="76">
        <v>0</v>
      </c>
      <c r="I82" s="76">
        <v>0</v>
      </c>
      <c r="J82" s="76">
        <v>0</v>
      </c>
      <c r="K82" s="76">
        <v>-288.13099999999997</v>
      </c>
      <c r="L82" s="76">
        <v>-320.40100000000001</v>
      </c>
      <c r="M82" s="76">
        <v>-411.45400000000001</v>
      </c>
      <c r="N82" s="76">
        <v>-337.00599999999997</v>
      </c>
      <c r="O82" s="76">
        <v>-357.90199999999999</v>
      </c>
      <c r="P82" s="76">
        <v>-395.88400000000001</v>
      </c>
      <c r="Q82" s="76">
        <v>-406.255</v>
      </c>
      <c r="R82" s="76">
        <v>-414.9</v>
      </c>
      <c r="S82" s="76">
        <v>-430.05</v>
      </c>
      <c r="T82" s="76">
        <v>-423.95699999999999</v>
      </c>
      <c r="U82" s="76">
        <v>-540.62900000000002</v>
      </c>
      <c r="V82" s="76">
        <v>-546.35900000000004</v>
      </c>
      <c r="W82" s="76">
        <v>-559.06600000000003</v>
      </c>
      <c r="X82" s="76">
        <v>-544.73099999999999</v>
      </c>
      <c r="Y82" s="76">
        <v>-556.04100000000005</v>
      </c>
      <c r="Z82" s="76">
        <v>-583.54700000000003</v>
      </c>
      <c r="AA82" s="76">
        <v>-550.471</v>
      </c>
      <c r="AB82" s="76">
        <v>-553.673</v>
      </c>
      <c r="AC82" s="76">
        <v>-491.15100000000001</v>
      </c>
      <c r="AD82" s="76">
        <v>-546.45299999999997</v>
      </c>
      <c r="AE82" s="76">
        <v>-524.16600000000005</v>
      </c>
      <c r="AF82" s="76">
        <v>-548.72500000000002</v>
      </c>
      <c r="AG82" s="76">
        <v>-571.34100000000001</v>
      </c>
      <c r="AH82" s="76">
        <v>-605.971</v>
      </c>
      <c r="AI82" s="9"/>
      <c r="AJ82" s="76">
        <f t="shared" si="37"/>
        <v>0</v>
      </c>
      <c r="AK82" s="76">
        <f t="shared" si="38"/>
        <v>0</v>
      </c>
      <c r="AL82" s="76">
        <f t="shared" si="39"/>
        <v>-1356.9919999999997</v>
      </c>
      <c r="AM82" s="76">
        <f t="shared" si="40"/>
        <v>-1574.9410000000003</v>
      </c>
      <c r="AN82" s="76">
        <f t="shared" si="41"/>
        <v>-1940.9949999999999</v>
      </c>
      <c r="AO82" s="76">
        <f t="shared" si="42"/>
        <v>-2243.3850000000002</v>
      </c>
      <c r="AP82" s="76">
        <f t="shared" si="43"/>
        <v>-2141.748</v>
      </c>
      <c r="AQ82" s="76">
        <f t="shared" si="44"/>
        <v>-2250.203</v>
      </c>
    </row>
    <row r="83" spans="1:43" ht="16.5">
      <c r="A83" t="s">
        <v>459</v>
      </c>
      <c r="B83" t="s">
        <v>447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>
        <v>-44.487000000000002</v>
      </c>
      <c r="AI83" s="9"/>
      <c r="AJ83" s="10"/>
      <c r="AK83" s="10"/>
      <c r="AL83" s="10"/>
      <c r="AM83" s="10"/>
      <c r="AN83" s="10"/>
      <c r="AO83" s="10"/>
      <c r="AP83" s="10"/>
      <c r="AQ83" s="10">
        <f t="shared" si="44"/>
        <v>-44.487000000000002</v>
      </c>
    </row>
    <row r="84" spans="1:43" ht="16.5">
      <c r="A84" s="9" t="s">
        <v>159</v>
      </c>
      <c r="B84" s="9" t="s">
        <v>273</v>
      </c>
      <c r="C84" s="76">
        <v>-8.9999999999999993E-3</v>
      </c>
      <c r="D84" s="76">
        <v>-5.2140000000000004</v>
      </c>
      <c r="E84" s="76">
        <v>-4.2779999999999996</v>
      </c>
      <c r="F84" s="76">
        <v>27.323</v>
      </c>
      <c r="G84" s="76">
        <v>8.8490000000000002</v>
      </c>
      <c r="H84" s="76">
        <v>2.61</v>
      </c>
      <c r="I84" s="76">
        <v>0.72599999999999998</v>
      </c>
      <c r="J84" s="76">
        <v>-5.2789999999999999</v>
      </c>
      <c r="K84" s="76">
        <v>2.532</v>
      </c>
      <c r="L84" s="76">
        <v>-8.782</v>
      </c>
      <c r="M84" s="76">
        <v>-16.131</v>
      </c>
      <c r="N84" s="76">
        <v>5.64</v>
      </c>
      <c r="O84" s="76">
        <v>4.5650000000000004</v>
      </c>
      <c r="P84" s="76">
        <v>-2.593</v>
      </c>
      <c r="Q84" s="76">
        <v>-2.3199999999999998</v>
      </c>
      <c r="R84" s="76">
        <v>0</v>
      </c>
      <c r="S84" s="76">
        <v>0</v>
      </c>
      <c r="T84" s="76">
        <v>0</v>
      </c>
      <c r="U84" s="76">
        <v>1.756</v>
      </c>
      <c r="V84" s="76">
        <v>0</v>
      </c>
      <c r="W84" s="76">
        <v>0</v>
      </c>
      <c r="X84" s="76">
        <v>0</v>
      </c>
      <c r="Y84" s="76">
        <v>0</v>
      </c>
      <c r="Z84" s="76">
        <v>0</v>
      </c>
      <c r="AA84" s="76">
        <v>0</v>
      </c>
      <c r="AB84" s="76">
        <v>0</v>
      </c>
      <c r="AC84" s="76">
        <v>0</v>
      </c>
      <c r="AD84" s="76">
        <v>0</v>
      </c>
      <c r="AE84" s="76">
        <v>0</v>
      </c>
      <c r="AF84" s="76">
        <v>0</v>
      </c>
      <c r="AG84" s="76">
        <v>0</v>
      </c>
      <c r="AH84" s="76"/>
      <c r="AI84" s="9"/>
      <c r="AJ84" s="76">
        <f t="shared" si="37"/>
        <v>17.821999999999999</v>
      </c>
      <c r="AK84" s="76">
        <f t="shared" si="38"/>
        <v>6.9059999999999988</v>
      </c>
      <c r="AL84" s="76">
        <f t="shared" si="39"/>
        <v>-16.741</v>
      </c>
      <c r="AM84" s="76">
        <f t="shared" si="40"/>
        <v>-0.34799999999999942</v>
      </c>
      <c r="AN84" s="76">
        <f t="shared" si="41"/>
        <v>1.756</v>
      </c>
      <c r="AO84" s="76">
        <f t="shared" si="42"/>
        <v>0</v>
      </c>
      <c r="AP84" s="76">
        <f t="shared" si="43"/>
        <v>0</v>
      </c>
      <c r="AQ84" s="76">
        <f t="shared" si="44"/>
        <v>0</v>
      </c>
    </row>
    <row r="85" spans="1:43" ht="16.5">
      <c r="A85" s="66" t="s">
        <v>160</v>
      </c>
      <c r="B85" s="66" t="s">
        <v>282</v>
      </c>
      <c r="C85" s="91">
        <f t="shared" ref="C85:AA85" si="45">SUM(C71:C84)</f>
        <v>3450.5319999999988</v>
      </c>
      <c r="D85" s="91">
        <f t="shared" si="45"/>
        <v>700.97499999999945</v>
      </c>
      <c r="E85" s="91">
        <f t="shared" si="45"/>
        <v>-80.063999999999865</v>
      </c>
      <c r="F85" s="91">
        <f t="shared" si="45"/>
        <v>-4705.8149999999987</v>
      </c>
      <c r="G85" s="91">
        <f t="shared" si="45"/>
        <v>-844.93900000000008</v>
      </c>
      <c r="H85" s="91">
        <f t="shared" si="45"/>
        <v>-1115.2950000000003</v>
      </c>
      <c r="I85" s="91">
        <f t="shared" si="45"/>
        <v>-3759.5959999999991</v>
      </c>
      <c r="J85" s="91">
        <f t="shared" si="45"/>
        <v>-4269.2359999999999</v>
      </c>
      <c r="K85" s="91">
        <f t="shared" si="45"/>
        <v>-757.65200000000016</v>
      </c>
      <c r="L85" s="91">
        <f t="shared" si="45"/>
        <v>-4683.728000000001</v>
      </c>
      <c r="M85" s="91">
        <f t="shared" si="45"/>
        <v>-2095.9029999999989</v>
      </c>
      <c r="N85" s="91">
        <f t="shared" si="45"/>
        <v>1092.9220000000003</v>
      </c>
      <c r="O85" s="91">
        <f t="shared" si="45"/>
        <v>6334.4540000000006</v>
      </c>
      <c r="P85" s="91">
        <f t="shared" si="45"/>
        <v>-4664.7309999999998</v>
      </c>
      <c r="Q85" s="91">
        <f t="shared" si="45"/>
        <v>-6082.2490000000007</v>
      </c>
      <c r="R85" s="91">
        <f t="shared" si="45"/>
        <v>-4609.5990000000002</v>
      </c>
      <c r="S85" s="91">
        <f t="shared" si="45"/>
        <v>-7321.6719999999996</v>
      </c>
      <c r="T85" s="91">
        <f t="shared" si="45"/>
        <v>7112.7199999999993</v>
      </c>
      <c r="U85" s="91">
        <f t="shared" si="45"/>
        <v>3626.0170000000012</v>
      </c>
      <c r="V85" s="91">
        <f t="shared" si="45"/>
        <v>-4261.5690000000013</v>
      </c>
      <c r="W85" s="91">
        <f t="shared" si="45"/>
        <v>774.31499999999937</v>
      </c>
      <c r="X85" s="91">
        <f t="shared" si="45"/>
        <v>-6.9850000000010368</v>
      </c>
      <c r="Y85" s="91">
        <f t="shared" si="45"/>
        <v>-6399.7390000000005</v>
      </c>
      <c r="Z85" s="91">
        <f t="shared" si="45"/>
        <v>-3126.6570000000002</v>
      </c>
      <c r="AA85" s="91">
        <f t="shared" si="45"/>
        <v>2121.373</v>
      </c>
      <c r="AB85" s="91">
        <v>2175.2659999999987</v>
      </c>
      <c r="AC85" s="91">
        <v>9992.502999999997</v>
      </c>
      <c r="AD85" s="91">
        <f>SUM(AD71:AD84)</f>
        <v>-9278.2320000000018</v>
      </c>
      <c r="AE85" s="91">
        <f>SUM(AE71:AE84)</f>
        <v>-3463.1189999999997</v>
      </c>
      <c r="AF85" s="91">
        <f>SUM(AF71:AF84)</f>
        <v>-3653.9589999999994</v>
      </c>
      <c r="AG85" s="91">
        <f>SUM(AG71:AG84)</f>
        <v>1695.7619999999997</v>
      </c>
      <c r="AH85" s="91">
        <f>SUM(AH71:AH84)</f>
        <v>-1875.7999999999997</v>
      </c>
      <c r="AI85" s="9"/>
      <c r="AJ85" s="91">
        <f>SUM(C85:F85)</f>
        <v>-634.37200000000075</v>
      </c>
      <c r="AK85" s="91">
        <f>SUM(G85:J85)</f>
        <v>-9989.0659999999989</v>
      </c>
      <c r="AL85" s="91">
        <f>SUM(K85:N85)</f>
        <v>-6444.360999999999</v>
      </c>
      <c r="AM85" s="91">
        <f>SUM(O85:R85)</f>
        <v>-9022.125</v>
      </c>
      <c r="AN85" s="91">
        <f>SUM(S85:V85)</f>
        <v>-844.50400000000036</v>
      </c>
      <c r="AO85" s="91">
        <f>SUM(W85:Z85)</f>
        <v>-8759.0660000000025</v>
      </c>
      <c r="AP85" s="91">
        <f>SUM(AA85:AD85)</f>
        <v>5010.9099999999944</v>
      </c>
      <c r="AQ85" s="91">
        <f>SUM(AE85:AH85)</f>
        <v>-7297.116</v>
      </c>
    </row>
    <row r="86" spans="1:43" ht="16.5"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>
        <v>0</v>
      </c>
      <c r="AA86" s="13"/>
      <c r="AB86" s="13"/>
      <c r="AC86" s="13"/>
      <c r="AD86" s="13"/>
      <c r="AE86" s="13"/>
      <c r="AF86" s="13"/>
      <c r="AG86" s="13"/>
      <c r="AH86" s="13"/>
      <c r="AJ86" s="13"/>
      <c r="AK86" s="13"/>
      <c r="AL86" s="13"/>
      <c r="AM86" s="13"/>
      <c r="AN86" s="13"/>
      <c r="AO86" s="13"/>
      <c r="AP86" s="13"/>
      <c r="AQ86" s="13"/>
    </row>
    <row r="87" spans="1:43">
      <c r="A87" s="66" t="s">
        <v>161</v>
      </c>
      <c r="B87" s="66" t="s">
        <v>283</v>
      </c>
      <c r="C87" s="98">
        <v>-33.658999999999999</v>
      </c>
      <c r="D87" s="98">
        <v>287.392</v>
      </c>
      <c r="E87" s="98">
        <v>-346.202</v>
      </c>
      <c r="F87" s="98">
        <v>334.97899999999998</v>
      </c>
      <c r="G87" s="98">
        <v>46.322000000000003</v>
      </c>
      <c r="H87" s="98">
        <v>1464.5889999999999</v>
      </c>
      <c r="I87" s="98">
        <v>446.072</v>
      </c>
      <c r="J87" s="98">
        <v>-473.19900000000001</v>
      </c>
      <c r="K87" s="98">
        <v>-53.204999999999998</v>
      </c>
      <c r="L87" s="98">
        <v>-153.87100000000001</v>
      </c>
      <c r="M87" s="98">
        <v>-91.35</v>
      </c>
      <c r="N87" s="98">
        <v>-73.025000000000006</v>
      </c>
      <c r="O87" s="98">
        <v>2710.8580000000002</v>
      </c>
      <c r="P87" s="98">
        <v>655.072</v>
      </c>
      <c r="Q87" s="98">
        <v>470.47300000000001</v>
      </c>
      <c r="R87" s="98">
        <v>-1117.1790000000001</v>
      </c>
      <c r="S87" s="98">
        <v>1291.329</v>
      </c>
      <c r="T87" s="98">
        <v>-1700.8430000000001</v>
      </c>
      <c r="U87" s="98">
        <v>1761.6469999999999</v>
      </c>
      <c r="V87" s="98">
        <v>429.83499999999998</v>
      </c>
      <c r="W87" s="98">
        <v>-3254.4969999999998</v>
      </c>
      <c r="X87" s="98">
        <v>1665.086</v>
      </c>
      <c r="Y87" s="98">
        <v>423.66399999999999</v>
      </c>
      <c r="Z87" s="98">
        <f>-340851/1000</f>
        <v>-340.851</v>
      </c>
      <c r="AA87" s="98">
        <v>-305.089</v>
      </c>
      <c r="AB87" s="98">
        <v>-318.14499999999998</v>
      </c>
      <c r="AC87" s="98">
        <v>623.39300000000003</v>
      </c>
      <c r="AD87" s="98">
        <v>-545.20399999999995</v>
      </c>
      <c r="AE87" s="98">
        <v>334.78500000000003</v>
      </c>
      <c r="AF87" s="98">
        <v>1611.7180000000001</v>
      </c>
      <c r="AG87" s="98">
        <v>-726.86900000000003</v>
      </c>
      <c r="AH87" s="98">
        <v>2893.5830000000001</v>
      </c>
      <c r="AJ87" s="98">
        <f>SUM(C87:F87)</f>
        <v>242.51</v>
      </c>
      <c r="AK87" s="98">
        <f>SUM(G87:J87)</f>
        <v>1483.7840000000001</v>
      </c>
      <c r="AL87" s="98">
        <f>SUM(K87:N87)</f>
        <v>-371.45100000000002</v>
      </c>
      <c r="AM87" s="98">
        <f>SUM(O87:R87)</f>
        <v>2719.2240000000002</v>
      </c>
      <c r="AN87" s="98">
        <f>SUM(S87:V87)</f>
        <v>1781.9679999999998</v>
      </c>
      <c r="AO87" s="98">
        <f>SUM(W87:Z87)</f>
        <v>-1506.598</v>
      </c>
      <c r="AP87" s="91">
        <f>SUM(AA87:AD87)</f>
        <v>-545.04499999999985</v>
      </c>
      <c r="AQ87" s="91">
        <f>SUM(AE87:AH87)</f>
        <v>4113.2170000000006</v>
      </c>
    </row>
    <row r="88" spans="1:43" ht="16.5"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>
        <v>0</v>
      </c>
      <c r="AJ88" s="13"/>
      <c r="AK88" s="13"/>
      <c r="AL88" s="13"/>
      <c r="AM88" s="13"/>
      <c r="AN88" s="13"/>
      <c r="AO88" s="13"/>
      <c r="AP88" s="13"/>
      <c r="AQ88" s="13"/>
    </row>
    <row r="89" spans="1:43" ht="16.5">
      <c r="A89" s="12" t="s">
        <v>162</v>
      </c>
      <c r="B89" s="9" t="s">
        <v>340</v>
      </c>
      <c r="C89" s="85">
        <v>1388.6869999999999</v>
      </c>
      <c r="D89" s="85">
        <v>556.08000000000004</v>
      </c>
      <c r="E89" s="85">
        <v>2796.866</v>
      </c>
      <c r="F89" s="85">
        <v>-2355.947000000001</v>
      </c>
      <c r="G89" s="85">
        <v>-908.16099999999994</v>
      </c>
      <c r="H89" s="85">
        <v>2278.9270000000001</v>
      </c>
      <c r="I89" s="85">
        <v>-1018.244</v>
      </c>
      <c r="J89" s="85">
        <v>-3158.0509999999999</v>
      </c>
      <c r="K89" s="85">
        <v>-1522.6289999999999</v>
      </c>
      <c r="L89" s="85">
        <v>-1121.0609999999999</v>
      </c>
      <c r="M89" s="85">
        <v>1521.443</v>
      </c>
      <c r="N89" s="85">
        <v>2220.4349999999999</v>
      </c>
      <c r="O89" s="85">
        <v>8432.232</v>
      </c>
      <c r="P89" s="85">
        <v>4209.3620000000001</v>
      </c>
      <c r="Q89" s="85">
        <v>-342.44499999999999</v>
      </c>
      <c r="R89" s="85">
        <v>-2653.3631050000013</v>
      </c>
      <c r="S89" s="85">
        <v>-9421.2109999999993</v>
      </c>
      <c r="T89" s="85">
        <v>6582.067</v>
      </c>
      <c r="U89" s="85">
        <v>6491.5439999999999</v>
      </c>
      <c r="V89" s="85">
        <v>-92.988</v>
      </c>
      <c r="W89" s="85">
        <v>-5957.3940000000002</v>
      </c>
      <c r="X89" s="85">
        <v>2048.6770000000001</v>
      </c>
      <c r="Y89" s="85">
        <v>-2665.3049999999998</v>
      </c>
      <c r="Z89" s="85">
        <v>-3482.97</v>
      </c>
      <c r="AA89" s="85">
        <v>-4217.4840000000004</v>
      </c>
      <c r="AB89" s="85">
        <v>3774.038</v>
      </c>
      <c r="AC89" s="85">
        <v>14051.111999999999</v>
      </c>
      <c r="AD89" s="85">
        <v>-4667.4189999999999</v>
      </c>
      <c r="AE89" s="85">
        <v>-5644.9740000000002</v>
      </c>
      <c r="AF89" s="85">
        <v>4036.587</v>
      </c>
      <c r="AG89" s="85">
        <v>7108.1469999999999</v>
      </c>
      <c r="AH89" s="85">
        <v>7139.375</v>
      </c>
      <c r="AJ89" s="85">
        <f>SUM(C89:F89)</f>
        <v>2385.6859999999988</v>
      </c>
      <c r="AK89" s="85">
        <f>SUM(G89:J89)</f>
        <v>-2805.529</v>
      </c>
      <c r="AL89" s="85">
        <f>SUM(K89:N89)</f>
        <v>1098.1880000000003</v>
      </c>
      <c r="AM89" s="85">
        <f>SUM(O89:R89)</f>
        <v>9645.7858950000009</v>
      </c>
      <c r="AN89" s="85">
        <f>SUM(S89:V89)</f>
        <v>3559.4120000000007</v>
      </c>
      <c r="AO89" s="85">
        <f>SUM(W89:Z89)</f>
        <v>-10056.992</v>
      </c>
      <c r="AP89" s="85">
        <f>SUM(AA89:AD89)</f>
        <v>8940.2469999999994</v>
      </c>
      <c r="AQ89" s="85">
        <f>SUM(AE89:AH89)</f>
        <v>12639.135</v>
      </c>
    </row>
    <row r="90" spans="1:43" ht="16.5">
      <c r="A90" s="12" t="s">
        <v>163</v>
      </c>
      <c r="B90" s="9" t="s">
        <v>341</v>
      </c>
      <c r="C90" s="85">
        <v>9355.6219999999994</v>
      </c>
      <c r="D90" s="85">
        <v>10744.308000000001</v>
      </c>
      <c r="E90" s="85">
        <v>11300.388000000001</v>
      </c>
      <c r="F90" s="85">
        <v>14097.254999999999</v>
      </c>
      <c r="G90" s="85">
        <v>11741.308000000001</v>
      </c>
      <c r="H90" s="85">
        <v>10833.147000000001</v>
      </c>
      <c r="I90" s="85">
        <v>13112.074000000001</v>
      </c>
      <c r="J90" s="85">
        <v>12093.83</v>
      </c>
      <c r="K90" s="85">
        <v>8935.7790000000005</v>
      </c>
      <c r="L90" s="85">
        <v>7413.15</v>
      </c>
      <c r="M90" s="85">
        <v>6292.0889999999999</v>
      </c>
      <c r="N90" s="85">
        <v>7813.5320000000002</v>
      </c>
      <c r="O90" s="85">
        <v>10033.967000000001</v>
      </c>
      <c r="P90" s="85">
        <v>18466.199000000001</v>
      </c>
      <c r="Q90" s="85">
        <v>22675.550999999999</v>
      </c>
      <c r="R90" s="85">
        <v>22333.106</v>
      </c>
      <c r="S90" s="85">
        <v>19679.742999999999</v>
      </c>
      <c r="T90" s="85">
        <v>10258.531999999999</v>
      </c>
      <c r="U90" s="85">
        <v>16840.599999999999</v>
      </c>
      <c r="V90" s="85">
        <v>23332.144</v>
      </c>
      <c r="W90" s="85">
        <v>23239.155999999999</v>
      </c>
      <c r="X90" s="85">
        <v>17281.756000000001</v>
      </c>
      <c r="Y90" s="85">
        <v>19330.433000000001</v>
      </c>
      <c r="Z90" s="85">
        <f>Y91</f>
        <v>16665.128000000001</v>
      </c>
      <c r="AA90" s="85">
        <v>13182.157999999999</v>
      </c>
      <c r="AB90" s="85">
        <v>8964.6740000000009</v>
      </c>
      <c r="AC90" s="85">
        <v>12738.712</v>
      </c>
      <c r="AD90" s="85">
        <f>AC91</f>
        <v>26789.824000000001</v>
      </c>
      <c r="AE90" s="85">
        <v>22122.40491081274</v>
      </c>
      <c r="AF90" s="85">
        <v>16477.430540262165</v>
      </c>
      <c r="AG90" s="85">
        <v>20514.017540262164</v>
      </c>
      <c r="AH90" s="85">
        <f>AG91</f>
        <v>27622.164540262165</v>
      </c>
      <c r="AI90" s="4"/>
      <c r="AJ90" s="85">
        <f>C90</f>
        <v>9355.6219999999994</v>
      </c>
      <c r="AK90" s="85">
        <f>G90</f>
        <v>11741.308000000001</v>
      </c>
      <c r="AL90" s="85">
        <f>K90</f>
        <v>8935.7790000000005</v>
      </c>
      <c r="AM90" s="85">
        <f>O90</f>
        <v>10033.967000000001</v>
      </c>
      <c r="AN90" s="85">
        <f>R91</f>
        <v>19679.742894999999</v>
      </c>
      <c r="AO90" s="85">
        <f>V91</f>
        <v>23239.155999999999</v>
      </c>
      <c r="AP90" s="85">
        <f>Z91</f>
        <v>13182.158000000001</v>
      </c>
      <c r="AQ90" s="85">
        <f>AP91</f>
        <v>22122.404999999999</v>
      </c>
    </row>
    <row r="91" spans="1:43" ht="15.75" thickBot="1">
      <c r="A91" s="66" t="s">
        <v>164</v>
      </c>
      <c r="B91" s="66" t="s">
        <v>284</v>
      </c>
      <c r="C91" s="100">
        <f t="shared" ref="C91:W91" si="46">SUM(C89:C90)</f>
        <v>10744.308999999999</v>
      </c>
      <c r="D91" s="100">
        <f t="shared" si="46"/>
        <v>11300.388000000001</v>
      </c>
      <c r="E91" s="100">
        <f t="shared" si="46"/>
        <v>14097.254000000001</v>
      </c>
      <c r="F91" s="100">
        <f t="shared" si="46"/>
        <v>11741.307999999997</v>
      </c>
      <c r="G91" s="100">
        <f t="shared" si="46"/>
        <v>10833.147000000001</v>
      </c>
      <c r="H91" s="100">
        <f t="shared" si="46"/>
        <v>13112.074000000001</v>
      </c>
      <c r="I91" s="100">
        <f t="shared" si="46"/>
        <v>12093.83</v>
      </c>
      <c r="J91" s="100">
        <f t="shared" si="46"/>
        <v>8935.7790000000005</v>
      </c>
      <c r="K91" s="100">
        <f t="shared" si="46"/>
        <v>7413.1500000000005</v>
      </c>
      <c r="L91" s="100">
        <f t="shared" si="46"/>
        <v>6292.0889999999999</v>
      </c>
      <c r="M91" s="100">
        <f t="shared" si="46"/>
        <v>7813.5320000000002</v>
      </c>
      <c r="N91" s="100">
        <f t="shared" si="46"/>
        <v>10033.967000000001</v>
      </c>
      <c r="O91" s="100">
        <f t="shared" si="46"/>
        <v>18466.199000000001</v>
      </c>
      <c r="P91" s="100">
        <f t="shared" si="46"/>
        <v>22675.561000000002</v>
      </c>
      <c r="Q91" s="100">
        <f t="shared" si="46"/>
        <v>22333.106</v>
      </c>
      <c r="R91" s="100">
        <f t="shared" si="46"/>
        <v>19679.742894999999</v>
      </c>
      <c r="S91" s="100">
        <f t="shared" si="46"/>
        <v>10258.531999999999</v>
      </c>
      <c r="T91" s="100">
        <f t="shared" si="46"/>
        <v>16840.598999999998</v>
      </c>
      <c r="U91" s="100">
        <f t="shared" si="46"/>
        <v>23332.144</v>
      </c>
      <c r="V91" s="100">
        <f t="shared" si="46"/>
        <v>23239.155999999999</v>
      </c>
      <c r="W91" s="100">
        <f t="shared" si="46"/>
        <v>17281.761999999999</v>
      </c>
      <c r="X91" s="100">
        <f>SUM(X89:X90)</f>
        <v>19330.433000000001</v>
      </c>
      <c r="Y91" s="100">
        <f>SUM(Y89:Y90)</f>
        <v>16665.128000000001</v>
      </c>
      <c r="Z91" s="100">
        <f>SUM(Z89:Z90)</f>
        <v>13182.158000000001</v>
      </c>
      <c r="AA91" s="100">
        <f>SUM(AA89:AA90)</f>
        <v>8964.6739999999991</v>
      </c>
      <c r="AB91" s="100">
        <v>12738.712000000001</v>
      </c>
      <c r="AC91" s="100">
        <v>26789.824000000001</v>
      </c>
      <c r="AD91" s="100">
        <f>SUM(AD89:AD90)</f>
        <v>22122.404999999999</v>
      </c>
      <c r="AE91" s="100">
        <f>SUM(AE89:AE90)</f>
        <v>16477.430910812742</v>
      </c>
      <c r="AF91" s="100">
        <f>SUM(AF89:AF90)</f>
        <v>20514.017540262164</v>
      </c>
      <c r="AG91" s="100">
        <f>SUM(AG89:AG90)</f>
        <v>27622.164540262165</v>
      </c>
      <c r="AH91" s="100">
        <f>SUM(AH89:AH90)</f>
        <v>34761.539540262165</v>
      </c>
      <c r="AJ91" s="100">
        <f>F91</f>
        <v>11741.307999999997</v>
      </c>
      <c r="AK91" s="100">
        <f>J91</f>
        <v>8935.7790000000005</v>
      </c>
      <c r="AL91" s="100">
        <f>N91</f>
        <v>10033.967000000001</v>
      </c>
      <c r="AM91" s="100">
        <f>R91</f>
        <v>19679.742894999999</v>
      </c>
      <c r="AN91" s="100">
        <f>SUM(AN89:AN90)</f>
        <v>23239.154895</v>
      </c>
      <c r="AO91" s="100">
        <f>SUM(AO89:AO90)</f>
        <v>13182.163999999999</v>
      </c>
      <c r="AP91" s="100">
        <f>SUM(AP89:AP90)</f>
        <v>22122.404999999999</v>
      </c>
      <c r="AQ91" s="100">
        <f>SUM(AQ89:AQ90)</f>
        <v>34761.54</v>
      </c>
    </row>
    <row r="92" spans="1:43" ht="15.75" thickTop="1"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J92" s="32"/>
      <c r="AK92" s="32"/>
      <c r="AL92" s="32"/>
      <c r="AM92" s="32"/>
      <c r="AN92" s="32"/>
      <c r="AO92" s="32"/>
      <c r="AP92" s="32"/>
      <c r="AQ92" s="32"/>
    </row>
    <row r="93" spans="1:43">
      <c r="B93" s="14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J93" s="32"/>
      <c r="AK93" s="32"/>
      <c r="AL93" s="32"/>
      <c r="AM93" s="32"/>
      <c r="AN93" s="32"/>
      <c r="AO93" s="32"/>
      <c r="AP93" s="32"/>
      <c r="AQ93" s="32"/>
    </row>
    <row r="94" spans="1:43" ht="16.5">
      <c r="B94" s="14"/>
      <c r="C94" s="33" t="s">
        <v>20</v>
      </c>
      <c r="D94" s="33" t="s">
        <v>21</v>
      </c>
      <c r="E94" s="33" t="s">
        <v>22</v>
      </c>
      <c r="F94" s="33" t="s">
        <v>23</v>
      </c>
      <c r="G94" s="33" t="s">
        <v>24</v>
      </c>
      <c r="H94" s="33" t="s">
        <v>25</v>
      </c>
      <c r="I94" s="33" t="s">
        <v>26</v>
      </c>
      <c r="J94" s="33" t="s">
        <v>27</v>
      </c>
      <c r="K94" s="33" t="s">
        <v>28</v>
      </c>
      <c r="L94" s="33" t="s">
        <v>29</v>
      </c>
      <c r="M94" s="33" t="s">
        <v>30</v>
      </c>
      <c r="N94" s="33" t="s">
        <v>31</v>
      </c>
      <c r="O94" s="33" t="s">
        <v>32</v>
      </c>
      <c r="P94" s="33" t="s">
        <v>33</v>
      </c>
      <c r="Q94" s="33" t="s">
        <v>34</v>
      </c>
      <c r="R94" s="33" t="s">
        <v>35</v>
      </c>
      <c r="S94" s="17" t="s">
        <v>36</v>
      </c>
      <c r="T94" s="17" t="s">
        <v>183</v>
      </c>
      <c r="U94" s="17" t="s">
        <v>187</v>
      </c>
      <c r="V94" s="17" t="str">
        <f>V5</f>
        <v>4Q21</v>
      </c>
      <c r="W94" s="17" t="s">
        <v>189</v>
      </c>
      <c r="X94" s="17" t="s">
        <v>302</v>
      </c>
      <c r="Y94" s="17" t="s">
        <v>354</v>
      </c>
      <c r="Z94" s="17" t="s">
        <v>355</v>
      </c>
      <c r="AA94" s="17" t="s">
        <v>393</v>
      </c>
      <c r="AB94" s="17" t="s">
        <v>398</v>
      </c>
      <c r="AC94" s="17" t="s">
        <v>428</v>
      </c>
      <c r="AD94" s="17" t="str">
        <f>AD5</f>
        <v>4Q23</v>
      </c>
      <c r="AE94" s="17" t="str">
        <f>AE5</f>
        <v>1Q24</v>
      </c>
      <c r="AF94" s="17" t="s">
        <v>439</v>
      </c>
      <c r="AG94" s="17" t="s">
        <v>442</v>
      </c>
      <c r="AH94" s="17" t="str">
        <f>AH5</f>
        <v>4Q24</v>
      </c>
      <c r="AJ94" s="7">
        <f t="shared" ref="AJ94:AQ94" si="47">AJ5</f>
        <v>2017</v>
      </c>
      <c r="AK94" s="7">
        <f t="shared" si="47"/>
        <v>2018</v>
      </c>
      <c r="AL94" s="7">
        <f t="shared" si="47"/>
        <v>2019</v>
      </c>
      <c r="AM94" s="7">
        <f t="shared" si="47"/>
        <v>2020</v>
      </c>
      <c r="AN94" s="7">
        <f t="shared" si="47"/>
        <v>2021</v>
      </c>
      <c r="AO94" s="7">
        <f t="shared" si="47"/>
        <v>2022</v>
      </c>
      <c r="AP94" s="7">
        <f t="shared" si="47"/>
        <v>2023</v>
      </c>
      <c r="AQ94" s="7">
        <f t="shared" si="47"/>
        <v>2024</v>
      </c>
    </row>
    <row r="95" spans="1:43" ht="16.5">
      <c r="A95" s="66" t="s">
        <v>165</v>
      </c>
      <c r="B95" s="12" t="s">
        <v>285</v>
      </c>
      <c r="C95" s="85">
        <f t="shared" ref="C95:AB95" si="48">C45</f>
        <v>448.00900000000024</v>
      </c>
      <c r="D95" s="85">
        <f t="shared" si="48"/>
        <v>1868.0509999999999</v>
      </c>
      <c r="E95" s="85">
        <f t="shared" si="48"/>
        <v>3513.9019999999991</v>
      </c>
      <c r="F95" s="85">
        <f t="shared" si="48"/>
        <v>2868.5059999999994</v>
      </c>
      <c r="G95" s="85">
        <f t="shared" si="48"/>
        <v>163.30299999999988</v>
      </c>
      <c r="H95" s="85">
        <f t="shared" si="48"/>
        <v>3568.4130000000014</v>
      </c>
      <c r="I95" s="85">
        <f t="shared" si="48"/>
        <v>4324.3069999999998</v>
      </c>
      <c r="J95" s="85">
        <f t="shared" si="48"/>
        <v>3410.6240000000007</v>
      </c>
      <c r="K95" s="85">
        <f t="shared" si="48"/>
        <v>749.61999999999989</v>
      </c>
      <c r="L95" s="85">
        <f t="shared" si="48"/>
        <v>5210.1590000000006</v>
      </c>
      <c r="M95" s="85">
        <f t="shared" si="48"/>
        <v>6069.8649999999998</v>
      </c>
      <c r="N95" s="85">
        <f t="shared" si="48"/>
        <v>5068.7489999999971</v>
      </c>
      <c r="O95" s="85">
        <f t="shared" si="48"/>
        <v>1071.9279999999994</v>
      </c>
      <c r="P95" s="85">
        <f t="shared" si="48"/>
        <v>11409.022999999999</v>
      </c>
      <c r="Q95" s="85">
        <f t="shared" si="48"/>
        <v>7705.8059999999987</v>
      </c>
      <c r="R95" s="85">
        <f t="shared" si="48"/>
        <v>6814.819894999996</v>
      </c>
      <c r="S95" s="85">
        <f t="shared" si="48"/>
        <v>-629.36399999999958</v>
      </c>
      <c r="T95" s="85">
        <f t="shared" si="48"/>
        <v>5788.3460000000014</v>
      </c>
      <c r="U95" s="85">
        <f t="shared" si="48"/>
        <v>9780.7459999999992</v>
      </c>
      <c r="V95" s="85">
        <f t="shared" si="48"/>
        <v>10257.771999999999</v>
      </c>
      <c r="W95" s="85">
        <f t="shared" si="48"/>
        <v>429.95100000000275</v>
      </c>
      <c r="X95" s="85">
        <f t="shared" si="48"/>
        <v>4128.4479999999985</v>
      </c>
      <c r="Y95" s="85">
        <f t="shared" si="48"/>
        <v>7018.1720000000023</v>
      </c>
      <c r="Z95" s="85">
        <f t="shared" si="48"/>
        <v>5849.496000000001</v>
      </c>
      <c r="AA95" s="85">
        <f t="shared" si="48"/>
        <v>-3042.7050000000013</v>
      </c>
      <c r="AB95" s="85">
        <f t="shared" si="48"/>
        <v>5260.6430000000009</v>
      </c>
      <c r="AC95" s="85">
        <v>6311.576</v>
      </c>
      <c r="AD95" s="85">
        <f>AD45</f>
        <v>8468.469000000001</v>
      </c>
      <c r="AE95" s="85">
        <f>AE45</f>
        <v>121.54200000000219</v>
      </c>
      <c r="AF95" s="85">
        <f>AF45</f>
        <v>9595.0529999999999</v>
      </c>
      <c r="AG95" s="85">
        <f>AG45</f>
        <v>10263.784</v>
      </c>
      <c r="AH95" s="85">
        <f>AH45</f>
        <v>10573.236999999999</v>
      </c>
      <c r="AJ95" s="85">
        <f t="shared" ref="AJ95:AQ95" si="49">AJ45</f>
        <v>8698.4679999999989</v>
      </c>
      <c r="AK95" s="85">
        <f t="shared" si="49"/>
        <v>11466.647000000001</v>
      </c>
      <c r="AL95" s="85">
        <f t="shared" si="49"/>
        <v>17098.392999999996</v>
      </c>
      <c r="AM95" s="85">
        <f t="shared" si="49"/>
        <v>27001.576894999995</v>
      </c>
      <c r="AN95" s="85">
        <f t="shared" si="49"/>
        <v>25197.5</v>
      </c>
      <c r="AO95" s="85">
        <f t="shared" si="49"/>
        <v>17426.067000000003</v>
      </c>
      <c r="AP95" s="85">
        <f t="shared" si="49"/>
        <v>16997.983</v>
      </c>
      <c r="AQ95" s="85">
        <f t="shared" si="49"/>
        <v>30553.616000000002</v>
      </c>
    </row>
    <row r="96" spans="1:43" ht="16.5">
      <c r="A96" s="12" t="s">
        <v>134</v>
      </c>
      <c r="B96" s="12" t="s">
        <v>286</v>
      </c>
      <c r="C96" s="85">
        <f t="shared" ref="C96:AB96" si="50">C53</f>
        <v>-788.34699999999998</v>
      </c>
      <c r="D96" s="85">
        <f t="shared" si="50"/>
        <v>-848.18700000000001</v>
      </c>
      <c r="E96" s="85">
        <f t="shared" si="50"/>
        <v>-691.06399999999996</v>
      </c>
      <c r="F96" s="85">
        <f t="shared" si="50"/>
        <v>-784.37099999999998</v>
      </c>
      <c r="G96" s="85">
        <f t="shared" si="50"/>
        <v>-441.49400000000003</v>
      </c>
      <c r="H96" s="85">
        <f t="shared" si="50"/>
        <v>-608.31399999999996</v>
      </c>
      <c r="I96" s="85">
        <f t="shared" si="50"/>
        <v>-758.91300000000001</v>
      </c>
      <c r="J96" s="85">
        <f t="shared" si="50"/>
        <v>-1088.125</v>
      </c>
      <c r="K96" s="85">
        <f t="shared" si="50"/>
        <v>-754.05399999999997</v>
      </c>
      <c r="L96" s="85">
        <f t="shared" si="50"/>
        <v>-998.471</v>
      </c>
      <c r="M96" s="85">
        <f t="shared" si="50"/>
        <v>-1205.972</v>
      </c>
      <c r="N96" s="85">
        <f t="shared" si="50"/>
        <v>-1307.2439999999999</v>
      </c>
      <c r="O96" s="85">
        <f t="shared" si="50"/>
        <v>-880.25099999999998</v>
      </c>
      <c r="P96" s="85">
        <f t="shared" si="50"/>
        <v>-1238.6579999999999</v>
      </c>
      <c r="Q96" s="85">
        <f t="shared" si="50"/>
        <v>-1547.1869999999999</v>
      </c>
      <c r="R96" s="85">
        <f t="shared" si="50"/>
        <v>-2320.7049999999999</v>
      </c>
      <c r="S96" s="85">
        <f t="shared" si="50"/>
        <v>-1705.779</v>
      </c>
      <c r="T96" s="85">
        <f t="shared" si="50"/>
        <v>-1985.0640000000001</v>
      </c>
      <c r="U96" s="85">
        <f t="shared" si="50"/>
        <v>-2583.4830000000002</v>
      </c>
      <c r="V96" s="85">
        <f t="shared" si="50"/>
        <v>-3349.2460000000001</v>
      </c>
      <c r="W96" s="85">
        <f t="shared" si="50"/>
        <v>-2188.027</v>
      </c>
      <c r="X96" s="85">
        <f t="shared" si="50"/>
        <v>-2629.0390000000002</v>
      </c>
      <c r="Y96" s="85">
        <f t="shared" si="50"/>
        <v>-2968.7060000000001</v>
      </c>
      <c r="Z96" s="85">
        <f t="shared" si="50"/>
        <v>-3440.8310000000001</v>
      </c>
      <c r="AA96" s="85">
        <f t="shared" si="50"/>
        <v>-1718.25</v>
      </c>
      <c r="AB96" s="85">
        <f t="shared" si="50"/>
        <v>-1950.8119999999999</v>
      </c>
      <c r="AC96" s="85">
        <v>-1832.394</v>
      </c>
      <c r="AD96" s="85">
        <f>AD53</f>
        <v>-1990.855</v>
      </c>
      <c r="AE96" s="85">
        <f>AE53</f>
        <v>-1407.2940000000001</v>
      </c>
      <c r="AF96" s="85">
        <f>AF53</f>
        <v>-1802.848</v>
      </c>
      <c r="AG96" s="85">
        <f>AG53</f>
        <v>-1779.287</v>
      </c>
      <c r="AH96" s="85">
        <f>AH53</f>
        <v>-3095.1280000000002</v>
      </c>
      <c r="AJ96" s="85">
        <f t="shared" ref="AJ96:AQ96" si="51">AJ53</f>
        <v>-3111.9690000000001</v>
      </c>
      <c r="AK96" s="85">
        <f t="shared" si="51"/>
        <v>-2896.846</v>
      </c>
      <c r="AL96" s="85">
        <f t="shared" si="51"/>
        <v>-4265.741</v>
      </c>
      <c r="AM96" s="85">
        <f t="shared" si="51"/>
        <v>-5986.8009999999995</v>
      </c>
      <c r="AN96" s="85">
        <f t="shared" si="51"/>
        <v>-9623.5720000000001</v>
      </c>
      <c r="AO96" s="85">
        <f t="shared" si="51"/>
        <v>-11226.603000000001</v>
      </c>
      <c r="AP96" s="85">
        <f t="shared" si="51"/>
        <v>-7492.3109999999997</v>
      </c>
      <c r="AQ96" s="85">
        <f t="shared" si="51"/>
        <v>-8084.5570000000007</v>
      </c>
    </row>
    <row r="97" spans="1:43" ht="16.5">
      <c r="A97" s="12" t="s">
        <v>166</v>
      </c>
      <c r="B97" s="12" t="s">
        <v>287</v>
      </c>
      <c r="C97" s="85">
        <f t="shared" ref="C97:AB97" si="52">SUM(C47:C48)</f>
        <v>-733.44500000000005</v>
      </c>
      <c r="D97" s="85">
        <f t="shared" si="52"/>
        <v>-980.55400000000009</v>
      </c>
      <c r="E97" s="85">
        <f t="shared" si="52"/>
        <v>-732.6</v>
      </c>
      <c r="F97" s="85">
        <f t="shared" si="52"/>
        <v>-1047.857</v>
      </c>
      <c r="G97" s="85">
        <f t="shared" si="52"/>
        <v>-971.89100000000008</v>
      </c>
      <c r="H97" s="85">
        <f t="shared" si="52"/>
        <v>-1075.2809999999999</v>
      </c>
      <c r="I97" s="85">
        <f t="shared" si="52"/>
        <v>-965.24800000000005</v>
      </c>
      <c r="J97" s="85">
        <f t="shared" si="52"/>
        <v>-1011.739</v>
      </c>
      <c r="K97" s="85">
        <f t="shared" si="52"/>
        <v>-882.27200000000005</v>
      </c>
      <c r="L97" s="85">
        <f t="shared" si="52"/>
        <v>-781.08499999999992</v>
      </c>
      <c r="M97" s="85">
        <f t="shared" si="52"/>
        <v>-1074.0500000000002</v>
      </c>
      <c r="N97" s="85">
        <f t="shared" si="52"/>
        <v>-592.50199999999995</v>
      </c>
      <c r="O97" s="85">
        <f t="shared" si="52"/>
        <v>-828.57999999999993</v>
      </c>
      <c r="P97" s="85">
        <f t="shared" si="52"/>
        <v>-684.43299999999999</v>
      </c>
      <c r="Q97" s="85">
        <f t="shared" si="52"/>
        <v>-969.49200000000008</v>
      </c>
      <c r="R97" s="85">
        <f t="shared" si="52"/>
        <v>-737.24800000000005</v>
      </c>
      <c r="S97" s="85">
        <f t="shared" si="52"/>
        <v>-1148.655</v>
      </c>
      <c r="T97" s="85">
        <f t="shared" si="52"/>
        <v>-623.81999999999994</v>
      </c>
      <c r="U97" s="85">
        <f t="shared" si="52"/>
        <v>-930.48099999999999</v>
      </c>
      <c r="V97" s="85">
        <f t="shared" si="52"/>
        <v>-1014.217</v>
      </c>
      <c r="W97" s="85">
        <f t="shared" si="52"/>
        <v>-992.35599999999999</v>
      </c>
      <c r="X97" s="85">
        <f t="shared" si="52"/>
        <v>-1119.066</v>
      </c>
      <c r="Y97" s="85">
        <f t="shared" si="52"/>
        <v>-822.38800000000015</v>
      </c>
      <c r="Z97" s="85">
        <f t="shared" si="52"/>
        <v>-1158.7439999999999</v>
      </c>
      <c r="AA97" s="85">
        <f t="shared" si="52"/>
        <v>-1356.4870000000001</v>
      </c>
      <c r="AB97" s="85">
        <f t="shared" si="52"/>
        <v>-1496.73</v>
      </c>
      <c r="AC97" s="85">
        <v>-1048.7599999999998</v>
      </c>
      <c r="AD97" s="85">
        <f>SUM(AD47:AD48)</f>
        <v>-1597.3429999999998</v>
      </c>
      <c r="AE97" s="85">
        <f>SUM(AE47:AE48)</f>
        <v>-1287.537</v>
      </c>
      <c r="AF97" s="85">
        <f>SUM(AF47:AF48)</f>
        <v>-1733.3420000000001</v>
      </c>
      <c r="AG97" s="85">
        <f>SUM(AG47:AG48)</f>
        <v>-2399.3739999999998</v>
      </c>
      <c r="AH97" s="85">
        <f>SUM(AH47:AH48)</f>
        <v>-1576.3240000000001</v>
      </c>
      <c r="AJ97" s="85">
        <f t="shared" ref="AJ97:AQ97" si="53">SUM(AJ47:AJ48)</f>
        <v>-3494.4559999999997</v>
      </c>
      <c r="AK97" s="85">
        <f t="shared" si="53"/>
        <v>-4024.1589999999992</v>
      </c>
      <c r="AL97" s="85">
        <f t="shared" si="53"/>
        <v>-3329.9090000000001</v>
      </c>
      <c r="AM97" s="85">
        <f t="shared" si="53"/>
        <v>-3219.7529999999997</v>
      </c>
      <c r="AN97" s="85">
        <f t="shared" si="53"/>
        <v>-3717.1729999999998</v>
      </c>
      <c r="AO97" s="85">
        <f t="shared" si="53"/>
        <v>-4092.5539999999996</v>
      </c>
      <c r="AP97" s="85">
        <f t="shared" si="53"/>
        <v>-5499.3200000000006</v>
      </c>
      <c r="AQ97" s="85">
        <f t="shared" si="53"/>
        <v>-6996.5769999999993</v>
      </c>
    </row>
    <row r="98" spans="1:43" ht="16.5">
      <c r="A98" s="12"/>
      <c r="B98" s="12" t="s">
        <v>349</v>
      </c>
      <c r="C98" s="85">
        <f t="shared" ref="C98:AH98" si="54">C82</f>
        <v>0</v>
      </c>
      <c r="D98" s="85">
        <f t="shared" si="54"/>
        <v>0</v>
      </c>
      <c r="E98" s="85">
        <f t="shared" si="54"/>
        <v>0</v>
      </c>
      <c r="F98" s="85">
        <f t="shared" si="54"/>
        <v>0</v>
      </c>
      <c r="G98" s="85">
        <f t="shared" si="54"/>
        <v>0</v>
      </c>
      <c r="H98" s="85">
        <f t="shared" si="54"/>
        <v>0</v>
      </c>
      <c r="I98" s="85">
        <f t="shared" si="54"/>
        <v>0</v>
      </c>
      <c r="J98" s="85">
        <f t="shared" si="54"/>
        <v>0</v>
      </c>
      <c r="K98" s="85">
        <f t="shared" si="54"/>
        <v>-288.13099999999997</v>
      </c>
      <c r="L98" s="85">
        <f t="shared" si="54"/>
        <v>-320.40100000000001</v>
      </c>
      <c r="M98" s="85">
        <f t="shared" si="54"/>
        <v>-411.45400000000001</v>
      </c>
      <c r="N98" s="85">
        <f t="shared" si="54"/>
        <v>-337.00599999999997</v>
      </c>
      <c r="O98" s="85">
        <f t="shared" si="54"/>
        <v>-357.90199999999999</v>
      </c>
      <c r="P98" s="85">
        <f t="shared" si="54"/>
        <v>-395.88400000000001</v>
      </c>
      <c r="Q98" s="85">
        <f t="shared" si="54"/>
        <v>-406.255</v>
      </c>
      <c r="R98" s="85">
        <f t="shared" si="54"/>
        <v>-414.9</v>
      </c>
      <c r="S98" s="85">
        <f t="shared" si="54"/>
        <v>-430.05</v>
      </c>
      <c r="T98" s="85">
        <f t="shared" si="54"/>
        <v>-423.95699999999999</v>
      </c>
      <c r="U98" s="85">
        <f t="shared" si="54"/>
        <v>-540.62900000000002</v>
      </c>
      <c r="V98" s="85">
        <f t="shared" si="54"/>
        <v>-546.35900000000004</v>
      </c>
      <c r="W98" s="85">
        <f t="shared" si="54"/>
        <v>-559.06600000000003</v>
      </c>
      <c r="X98" s="85">
        <f t="shared" si="54"/>
        <v>-544.73099999999999</v>
      </c>
      <c r="Y98" s="85">
        <f t="shared" si="54"/>
        <v>-556.04100000000005</v>
      </c>
      <c r="Z98" s="85">
        <f t="shared" si="54"/>
        <v>-583.54700000000003</v>
      </c>
      <c r="AA98" s="85">
        <f t="shared" si="54"/>
        <v>-550.471</v>
      </c>
      <c r="AB98" s="85">
        <f t="shared" si="54"/>
        <v>-553.673</v>
      </c>
      <c r="AC98" s="85">
        <f t="shared" si="54"/>
        <v>-491.15100000000001</v>
      </c>
      <c r="AD98" s="85">
        <f t="shared" si="54"/>
        <v>-546.45299999999997</v>
      </c>
      <c r="AE98" s="85">
        <f t="shared" si="54"/>
        <v>-524.16600000000005</v>
      </c>
      <c r="AF98" s="85">
        <f t="shared" si="54"/>
        <v>-548.72500000000002</v>
      </c>
      <c r="AG98" s="85">
        <f t="shared" si="54"/>
        <v>-571.34100000000001</v>
      </c>
      <c r="AH98" s="85">
        <f t="shared" si="54"/>
        <v>-605.971</v>
      </c>
      <c r="AJ98" s="85"/>
      <c r="AK98" s="85"/>
      <c r="AL98" s="85"/>
      <c r="AM98" s="85"/>
      <c r="AN98" s="85">
        <f>SUM(S98:V98)</f>
        <v>-1940.9949999999999</v>
      </c>
      <c r="AO98" s="85">
        <f>SUM(W98:Z98)</f>
        <v>-2243.3850000000002</v>
      </c>
      <c r="AP98" s="85">
        <f>SUM(AA98:AD98)</f>
        <v>-2141.748</v>
      </c>
      <c r="AQ98" s="85">
        <f>SUM(AE98:AH98)</f>
        <v>-2250.203</v>
      </c>
    </row>
    <row r="99" spans="1:43">
      <c r="A99" s="66" t="s">
        <v>167</v>
      </c>
      <c r="B99" s="66" t="s">
        <v>288</v>
      </c>
      <c r="C99" s="99">
        <f>SUM(C95:C98)</f>
        <v>-1073.7829999999999</v>
      </c>
      <c r="D99" s="99">
        <f t="shared" ref="D99:AD99" si="55">SUM(D95:D98)</f>
        <v>39.309999999999832</v>
      </c>
      <c r="E99" s="99">
        <f t="shared" si="55"/>
        <v>2090.2379999999994</v>
      </c>
      <c r="F99" s="99">
        <f t="shared" si="55"/>
        <v>1036.2779999999993</v>
      </c>
      <c r="G99" s="99">
        <f t="shared" si="55"/>
        <v>-1250.0820000000003</v>
      </c>
      <c r="H99" s="99">
        <f t="shared" si="55"/>
        <v>1884.8180000000016</v>
      </c>
      <c r="I99" s="99">
        <f t="shared" si="55"/>
        <v>2600.1459999999997</v>
      </c>
      <c r="J99" s="99">
        <f t="shared" si="55"/>
        <v>1310.7600000000007</v>
      </c>
      <c r="K99" s="99">
        <f t="shared" si="55"/>
        <v>-1174.837</v>
      </c>
      <c r="L99" s="99">
        <f t="shared" si="55"/>
        <v>3110.2020000000002</v>
      </c>
      <c r="M99" s="99">
        <f t="shared" si="55"/>
        <v>3378.3889999999997</v>
      </c>
      <c r="N99" s="99">
        <f t="shared" si="55"/>
        <v>2831.9969999999976</v>
      </c>
      <c r="O99" s="99">
        <f t="shared" si="55"/>
        <v>-994.80500000000052</v>
      </c>
      <c r="P99" s="99">
        <f t="shared" si="55"/>
        <v>9090.0480000000007</v>
      </c>
      <c r="Q99" s="99">
        <f t="shared" si="55"/>
        <v>4782.8719999999985</v>
      </c>
      <c r="R99" s="99">
        <f t="shared" si="55"/>
        <v>3341.9668949999959</v>
      </c>
      <c r="S99" s="99">
        <f t="shared" si="55"/>
        <v>-3913.848</v>
      </c>
      <c r="T99" s="99">
        <f t="shared" si="55"/>
        <v>2755.5050000000015</v>
      </c>
      <c r="U99" s="99">
        <f t="shared" si="55"/>
        <v>5726.1529999999993</v>
      </c>
      <c r="V99" s="99">
        <f t="shared" si="55"/>
        <v>5347.9499999999989</v>
      </c>
      <c r="W99" s="99">
        <f t="shared" si="55"/>
        <v>-3309.4979999999969</v>
      </c>
      <c r="X99" s="99">
        <f t="shared" si="55"/>
        <v>-164.38800000000174</v>
      </c>
      <c r="Y99" s="99">
        <f t="shared" si="55"/>
        <v>2671.0370000000021</v>
      </c>
      <c r="Z99" s="99">
        <f t="shared" si="55"/>
        <v>666.37400000000093</v>
      </c>
      <c r="AA99" s="99">
        <f t="shared" si="55"/>
        <v>-6667.9130000000023</v>
      </c>
      <c r="AB99" s="99">
        <f t="shared" si="55"/>
        <v>1259.428000000001</v>
      </c>
      <c r="AC99" s="99">
        <f t="shared" si="55"/>
        <v>2939.2710000000002</v>
      </c>
      <c r="AD99" s="99">
        <f t="shared" si="55"/>
        <v>4333.8180000000011</v>
      </c>
      <c r="AE99" s="99">
        <f t="shared" ref="AE99" si="56">SUM(AE95:AE98)</f>
        <v>-3097.4549999999981</v>
      </c>
      <c r="AF99" s="99">
        <f t="shared" ref="AF99:AH99" si="57">SUM(AF95:AF98)</f>
        <v>5510.137999999999</v>
      </c>
      <c r="AG99" s="99">
        <f t="shared" si="57"/>
        <v>5513.7819999999992</v>
      </c>
      <c r="AH99" s="99">
        <f t="shared" si="57"/>
        <v>5295.8139999999985</v>
      </c>
      <c r="AJ99" s="99">
        <f>SUM(AJ95:AJ97)</f>
        <v>2092.0429999999992</v>
      </c>
      <c r="AK99" s="99">
        <f t="shared" ref="AK99:AM99" si="58">SUM(AK95:AK97)</f>
        <v>4545.6420000000016</v>
      </c>
      <c r="AL99" s="99">
        <f t="shared" si="58"/>
        <v>9502.7429999999968</v>
      </c>
      <c r="AM99" s="99">
        <f t="shared" si="58"/>
        <v>17795.022894999995</v>
      </c>
      <c r="AN99" s="99">
        <f t="shared" ref="AN99:AO99" si="59">SUM(AN95:AN98)</f>
        <v>9915.760000000002</v>
      </c>
      <c r="AO99" s="99">
        <f t="shared" si="59"/>
        <v>-136.47499999999809</v>
      </c>
      <c r="AP99" s="99">
        <f>SUM(AP95:AP98)</f>
        <v>1864.6039999999998</v>
      </c>
      <c r="AQ99" s="99">
        <f>SUM(AQ95:AQ98)</f>
        <v>13222.279000000002</v>
      </c>
    </row>
    <row r="100" spans="1:43">
      <c r="J100" s="11"/>
    </row>
  </sheetData>
  <pageMargins left="0.511811024" right="0.511811024" top="0.78740157499999996" bottom="0.78740157499999996" header="0.31496062000000002" footer="0.31496062000000002"/>
  <pageSetup paperSize="9" scale="29" orientation="portrait" r:id="rId1"/>
  <ignoredErrors>
    <ignoredError sqref="AE6:AQ99" formulaRange="1"/>
    <ignoredError sqref="U16:V16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>
    <tabColor rgb="FF0070C0"/>
    <pageSetUpPr fitToPage="1"/>
  </sheetPr>
  <dimension ref="A1:AT127"/>
  <sheetViews>
    <sheetView showGridLines="0" view="pageBreakPreview" zoomScale="70" zoomScaleNormal="70" zoomScaleSheetLayoutView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8.85546875" defaultRowHeight="15" outlineLevelCol="1"/>
  <cols>
    <col min="1" max="1" width="0.85546875" customWidth="1"/>
    <col min="2" max="2" width="50.5703125" customWidth="1" outlineLevel="1"/>
    <col min="3" max="3" width="50.5703125" customWidth="1"/>
    <col min="4" max="23" width="14.140625" style="29" hidden="1" customWidth="1" outlineLevel="1"/>
    <col min="24" max="24" width="14.140625" style="29" customWidth="1" collapsed="1"/>
    <col min="25" max="29" width="14.140625" style="29" customWidth="1"/>
    <col min="30" max="30" width="10.85546875" style="29" customWidth="1"/>
    <col min="31" max="31" width="10.42578125" style="29" bestFit="1" customWidth="1"/>
    <col min="32" max="34" width="10.85546875" style="29" customWidth="1"/>
    <col min="35" max="35" width="14.140625" style="29" customWidth="1"/>
    <col min="36" max="36" width="3.5703125" style="29" customWidth="1"/>
    <col min="37" max="40" width="14.140625" style="29" hidden="1" customWidth="1" outlineLevel="1"/>
    <col min="41" max="41" width="14.140625" style="29" customWidth="1" collapsed="1"/>
    <col min="42" max="46" width="14.140625" style="29" customWidth="1"/>
    <col min="47" max="67" width="14.140625" style="40" customWidth="1"/>
    <col min="68" max="16384" width="8.85546875" style="40"/>
  </cols>
  <sheetData>
    <row r="1" spans="1:46" customFormat="1" ht="1.5" customHeight="1">
      <c r="AH1" s="69" t="e">
        <v>#REF!</v>
      </c>
    </row>
    <row r="2" spans="1:46" ht="60" customHeight="1">
      <c r="D2" s="112"/>
      <c r="E2" s="112"/>
      <c r="F2" s="114"/>
      <c r="G2" s="115"/>
      <c r="P2" s="111"/>
      <c r="Q2" s="111"/>
      <c r="R2" s="111"/>
      <c r="S2" s="111"/>
      <c r="AN2" s="110"/>
    </row>
    <row r="3" spans="1:46" ht="3" customHeight="1"/>
    <row r="4" spans="1:46" s="39" customFormat="1" ht="16.5">
      <c r="A4"/>
      <c r="B4" s="2" t="s">
        <v>350</v>
      </c>
      <c r="C4" s="2" t="s">
        <v>289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8"/>
      <c r="AK4" s="47"/>
      <c r="AL4" s="47"/>
      <c r="AM4" s="108"/>
      <c r="AN4" s="109"/>
      <c r="AO4" s="47"/>
      <c r="AP4" s="47"/>
      <c r="AQ4" s="47"/>
      <c r="AR4" s="47"/>
      <c r="AS4" s="48"/>
      <c r="AT4" s="48"/>
    </row>
    <row r="5" spans="1:46" s="39" customFormat="1" ht="16.5">
      <c r="A5"/>
      <c r="B5" s="6" t="s">
        <v>3</v>
      </c>
      <c r="C5" s="6" t="s">
        <v>3</v>
      </c>
      <c r="D5" s="44" t="s">
        <v>20</v>
      </c>
      <c r="E5" s="44" t="s">
        <v>21</v>
      </c>
      <c r="F5" s="44" t="s">
        <v>22</v>
      </c>
      <c r="G5" s="44" t="s">
        <v>23</v>
      </c>
      <c r="H5" s="44" t="s">
        <v>24</v>
      </c>
      <c r="I5" s="44" t="s">
        <v>25</v>
      </c>
      <c r="J5" s="44" t="s">
        <v>26</v>
      </c>
      <c r="K5" s="44" t="s">
        <v>27</v>
      </c>
      <c r="L5" s="44" t="s">
        <v>28</v>
      </c>
      <c r="M5" s="44" t="s">
        <v>29</v>
      </c>
      <c r="N5" s="44" t="s">
        <v>30</v>
      </c>
      <c r="O5" s="44" t="s">
        <v>31</v>
      </c>
      <c r="P5" s="44" t="s">
        <v>32</v>
      </c>
      <c r="Q5" s="44" t="s">
        <v>33</v>
      </c>
      <c r="R5" s="44" t="s">
        <v>34</v>
      </c>
      <c r="S5" s="44" t="s">
        <v>35</v>
      </c>
      <c r="T5" s="44" t="s">
        <v>36</v>
      </c>
      <c r="U5" s="44" t="s">
        <v>183</v>
      </c>
      <c r="V5" s="44" t="s">
        <v>187</v>
      </c>
      <c r="W5" s="44" t="s">
        <v>188</v>
      </c>
      <c r="X5" s="45" t="s">
        <v>189</v>
      </c>
      <c r="Y5" s="17" t="s">
        <v>302</v>
      </c>
      <c r="Z5" s="17" t="s">
        <v>354</v>
      </c>
      <c r="AA5" s="17" t="s">
        <v>355</v>
      </c>
      <c r="AB5" s="17" t="s">
        <v>393</v>
      </c>
      <c r="AC5" s="17" t="s">
        <v>398</v>
      </c>
      <c r="AD5" s="17" t="s">
        <v>428</v>
      </c>
      <c r="AE5" s="17" t="s">
        <v>435</v>
      </c>
      <c r="AF5" s="17" t="s">
        <v>438</v>
      </c>
      <c r="AG5" s="17" t="s">
        <v>439</v>
      </c>
      <c r="AH5" s="17" t="s">
        <v>442</v>
      </c>
      <c r="AI5" s="17" t="s">
        <v>443</v>
      </c>
      <c r="AJ5" s="48"/>
      <c r="AK5" s="44">
        <v>2017</v>
      </c>
      <c r="AL5" s="44">
        <v>2018</v>
      </c>
      <c r="AM5" s="44">
        <v>2019</v>
      </c>
      <c r="AN5" s="44">
        <v>2020</v>
      </c>
      <c r="AO5" s="44">
        <v>2021</v>
      </c>
      <c r="AP5" s="44">
        <v>2022</v>
      </c>
      <c r="AQ5" s="44">
        <v>2023</v>
      </c>
      <c r="AR5" s="44">
        <v>2024</v>
      </c>
      <c r="AS5" s="48"/>
      <c r="AT5" s="48"/>
    </row>
    <row r="6" spans="1:46" ht="16.5">
      <c r="B6" s="12"/>
      <c r="C6" s="12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156"/>
      <c r="AK6" s="49"/>
      <c r="AL6" s="49"/>
      <c r="AM6" s="49"/>
      <c r="AN6" s="49"/>
      <c r="AO6" s="49"/>
      <c r="AP6" s="49"/>
      <c r="AQ6" s="49"/>
      <c r="AR6" s="49"/>
    </row>
    <row r="7" spans="1:46" ht="16.5">
      <c r="B7" s="57" t="s">
        <v>78</v>
      </c>
      <c r="C7" s="57" t="s">
        <v>239</v>
      </c>
      <c r="D7" s="67">
        <v>4085.24</v>
      </c>
      <c r="E7" s="67">
        <v>4323.6000000000004</v>
      </c>
      <c r="F7" s="67">
        <v>4589.7</v>
      </c>
      <c r="G7" s="67">
        <f>17473.067-D7-E7-F7</f>
        <v>4474.5269999999991</v>
      </c>
      <c r="H7" s="67">
        <v>3974.491</v>
      </c>
      <c r="I7" s="67">
        <v>4088.6909999974664</v>
      </c>
      <c r="J7" s="67">
        <v>4991.5079999999998</v>
      </c>
      <c r="K7" s="67">
        <v>4615.3911558199998</v>
      </c>
      <c r="L7" s="67">
        <v>4197.2610000000004</v>
      </c>
      <c r="M7" s="67">
        <v>5081.3710000000001</v>
      </c>
      <c r="N7" s="67">
        <v>5362.2219999999998</v>
      </c>
      <c r="O7" s="67">
        <v>5720.0448554300001</v>
      </c>
      <c r="P7" s="67">
        <v>5833.625</v>
      </c>
      <c r="Q7" s="67">
        <v>6391.665</v>
      </c>
      <c r="R7" s="67">
        <v>6964.5330000000004</v>
      </c>
      <c r="S7" s="67">
        <v>7540.9587962699998</v>
      </c>
      <c r="T7" s="67">
        <v>7842.1833692700002</v>
      </c>
      <c r="U7" s="67">
        <v>8937.741</v>
      </c>
      <c r="V7" s="67">
        <v>9622.1</v>
      </c>
      <c r="W7" s="67">
        <v>10121.44926308</v>
      </c>
      <c r="X7" s="67">
        <v>9487.7233891300002</v>
      </c>
      <c r="Y7" s="67">
        <v>10680.118547890001</v>
      </c>
      <c r="Z7" s="67">
        <v>11767.558321859999</v>
      </c>
      <c r="AA7" s="67">
        <v>11032.350653299998</v>
      </c>
      <c r="AB7" s="67">
        <v>10329.562007530001</v>
      </c>
      <c r="AC7" s="67">
        <v>10310.44757466</v>
      </c>
      <c r="AD7" s="67">
        <v>10207.774961829999</v>
      </c>
      <c r="AE7" s="67">
        <v>10452.477722059999</v>
      </c>
      <c r="AF7" s="67">
        <v>10317.525685549999</v>
      </c>
      <c r="AG7" s="67">
        <v>11594.831</v>
      </c>
      <c r="AH7" s="67">
        <v>12166.436968</v>
      </c>
      <c r="AI7" s="67">
        <v>13292.126604000001</v>
      </c>
      <c r="AK7" s="67">
        <f>SUM(D7:G7)</f>
        <v>17473.066999999999</v>
      </c>
      <c r="AL7" s="67">
        <f>SUM(H7:K7)</f>
        <v>17670.081155817468</v>
      </c>
      <c r="AM7" s="67">
        <f>SUM(L7:O7)</f>
        <v>20360.898855430001</v>
      </c>
      <c r="AN7" s="67">
        <f>SUM(P7:S7)</f>
        <v>26730.781796269999</v>
      </c>
      <c r="AO7" s="67">
        <f>SUM(T7:W7)</f>
        <v>36523.473632350004</v>
      </c>
      <c r="AP7" s="67">
        <f>SUM(X7:AA7)</f>
        <v>42967.750912179996</v>
      </c>
      <c r="AQ7" s="67">
        <f>SUM(AB7:AE7)</f>
        <v>41300.262266080004</v>
      </c>
      <c r="AR7" s="67">
        <f>SUM(AF7:AI7)</f>
        <v>47370.920257549995</v>
      </c>
    </row>
    <row r="8" spans="1:46" ht="16.5">
      <c r="B8" s="9" t="s">
        <v>168</v>
      </c>
      <c r="C8" s="9" t="s">
        <v>318</v>
      </c>
      <c r="D8" s="50">
        <v>-3479.096</v>
      </c>
      <c r="E8" s="50">
        <v>-3550.0920000000001</v>
      </c>
      <c r="F8" s="50">
        <v>-3630.01</v>
      </c>
      <c r="G8" s="50">
        <v>-3541.8220000000001</v>
      </c>
      <c r="H8" s="50">
        <v>-3389.5822090299998</v>
      </c>
      <c r="I8" s="50">
        <v>-3561.1219999999998</v>
      </c>
      <c r="J8" s="50">
        <v>-4028.1907909699999</v>
      </c>
      <c r="K8" s="50">
        <v>-3774.2254045499999</v>
      </c>
      <c r="L8" s="50">
        <v>-3523.8760000000002</v>
      </c>
      <c r="M8" s="50">
        <v>-4059.5279999999998</v>
      </c>
      <c r="N8" s="50">
        <v>-4212.5569999999998</v>
      </c>
      <c r="O8" s="50">
        <v>-4500.5969999999998</v>
      </c>
      <c r="P8" s="50">
        <v>-4268.1000000000004</v>
      </c>
      <c r="Q8" s="50">
        <v>-4645</v>
      </c>
      <c r="R8" s="50">
        <v>-5245.5</v>
      </c>
      <c r="S8" s="50">
        <v>-5772.1</v>
      </c>
      <c r="T8" s="50">
        <v>-6214.5674795799996</v>
      </c>
      <c r="U8" s="50">
        <v>-7244.2393144899997</v>
      </c>
      <c r="V8" s="50">
        <v>-7673</v>
      </c>
      <c r="W8" s="50">
        <v>-7905.6721663100016</v>
      </c>
      <c r="X8" s="50">
        <v>-7829.7970104500009</v>
      </c>
      <c r="Y8" s="50">
        <v>-8082.1697957599999</v>
      </c>
      <c r="Z8" s="50">
        <v>-8784.5930717800002</v>
      </c>
      <c r="AA8" s="50">
        <v>-9261.1979339099998</v>
      </c>
      <c r="AB8" s="50">
        <v>-9141.7049729199989</v>
      </c>
      <c r="AC8" s="50">
        <v>-8817.6015858299997</v>
      </c>
      <c r="AD8" s="50">
        <v>-8614.0817331199996</v>
      </c>
      <c r="AE8" s="50">
        <v>-8691.8851268199924</v>
      </c>
      <c r="AF8" s="50">
        <v>-8130.8745803999973</v>
      </c>
      <c r="AG8" s="50">
        <v>-8540.8860145899998</v>
      </c>
      <c r="AH8" s="50">
        <v>-8523.7082558899983</v>
      </c>
      <c r="AI8" s="50">
        <v>-9377.7818992200009</v>
      </c>
      <c r="AK8" s="50">
        <f>SUM(D8:G8)</f>
        <v>-14201.02</v>
      </c>
      <c r="AL8" s="50">
        <f>SUM(H8:K8)</f>
        <v>-14753.12040455</v>
      </c>
      <c r="AM8" s="50">
        <f>SUM(L8:O8)</f>
        <v>-16296.557999999999</v>
      </c>
      <c r="AN8" s="50">
        <f>SUM(P8:S8)</f>
        <v>-19930.7</v>
      </c>
      <c r="AO8" s="50">
        <f>SUM(T8:W8)</f>
        <v>-29037.478960380002</v>
      </c>
      <c r="AP8" s="50">
        <f>SUM(X8:AA8)</f>
        <v>-33957.757811900003</v>
      </c>
      <c r="AQ8" s="50">
        <f>SUM(AB8:AE8)</f>
        <v>-35265.273418689991</v>
      </c>
      <c r="AR8" s="50">
        <f>SUM(AF8:AI8)</f>
        <v>-34573.250750099993</v>
      </c>
    </row>
    <row r="9" spans="1:46" ht="16.5">
      <c r="B9" s="57" t="s">
        <v>80</v>
      </c>
      <c r="C9" s="57" t="s">
        <v>319</v>
      </c>
      <c r="D9" s="62">
        <f t="shared" ref="D9" si="0">D7+D8</f>
        <v>606.14399999999978</v>
      </c>
      <c r="E9" s="62">
        <f t="shared" ref="E9" si="1">E7+E8</f>
        <v>773.50800000000027</v>
      </c>
      <c r="F9" s="62">
        <f>F7+F8</f>
        <v>959.6899999999996</v>
      </c>
      <c r="G9" s="62">
        <f t="shared" ref="G9" si="2">G7+G8</f>
        <v>932.70499999999902</v>
      </c>
      <c r="H9" s="62">
        <f t="shared" ref="H9" si="3">H7+H8</f>
        <v>584.90879097000015</v>
      </c>
      <c r="I9" s="62">
        <f t="shared" ref="I9" si="4">I7+I8</f>
        <v>527.56899999746656</v>
      </c>
      <c r="J9" s="62">
        <f t="shared" ref="J9" si="5">J7+J8</f>
        <v>963.31720902999996</v>
      </c>
      <c r="K9" s="62">
        <f t="shared" ref="K9" si="6">K7+K8</f>
        <v>841.16575126999987</v>
      </c>
      <c r="L9" s="62">
        <f t="shared" ref="L9" si="7">L7+L8</f>
        <v>673.38500000000022</v>
      </c>
      <c r="M9" s="62">
        <f t="shared" ref="M9" si="8">M7+M8</f>
        <v>1021.8430000000003</v>
      </c>
      <c r="N9" s="62">
        <f t="shared" ref="N9" si="9">N7+N8</f>
        <v>1149.665</v>
      </c>
      <c r="O9" s="62">
        <f t="shared" ref="O9" si="10">O7+O8</f>
        <v>1219.4478554300003</v>
      </c>
      <c r="P9" s="62">
        <f t="shared" ref="P9" si="11">P7+P8</f>
        <v>1565.5249999999996</v>
      </c>
      <c r="Q9" s="62">
        <f t="shared" ref="Q9" si="12">Q7+Q8</f>
        <v>1746.665</v>
      </c>
      <c r="R9" s="62">
        <f t="shared" ref="R9" si="13">R7+R8</f>
        <v>1719.0330000000004</v>
      </c>
      <c r="S9" s="62">
        <f>S7+S8</f>
        <v>1768.8587962699994</v>
      </c>
      <c r="T9" s="62">
        <v>1627.6158896900006</v>
      </c>
      <c r="U9" s="62">
        <v>1693.5016855100002</v>
      </c>
      <c r="V9" s="62">
        <v>1949.1</v>
      </c>
      <c r="W9" s="62">
        <v>2215.777096769998</v>
      </c>
      <c r="X9" s="56">
        <f t="shared" ref="X9:AE9" si="14">SUM(X7:X8)</f>
        <v>1657.9263786799993</v>
      </c>
      <c r="Y9" s="56">
        <f t="shared" si="14"/>
        <v>2597.9487521300007</v>
      </c>
      <c r="Z9" s="56">
        <f t="shared" si="14"/>
        <v>2982.9652500799984</v>
      </c>
      <c r="AA9" s="56">
        <f t="shared" si="14"/>
        <v>1771.1527193899983</v>
      </c>
      <c r="AB9" s="56">
        <f t="shared" si="14"/>
        <v>1187.8570346100023</v>
      </c>
      <c r="AC9" s="56">
        <f t="shared" si="14"/>
        <v>1492.8459888300004</v>
      </c>
      <c r="AD9" s="56">
        <f t="shared" si="14"/>
        <v>1593.6932287099989</v>
      </c>
      <c r="AE9" s="56">
        <f t="shared" si="14"/>
        <v>1760.5925952400066</v>
      </c>
      <c r="AF9" s="56">
        <f t="shared" ref="AF9:AG9" si="15">SUM(AF7:AF8)</f>
        <v>2186.651105150002</v>
      </c>
      <c r="AG9" s="56">
        <f t="shared" si="15"/>
        <v>3053.9449854100003</v>
      </c>
      <c r="AH9" s="56">
        <f t="shared" ref="AH9" si="16">SUM(AH7:AH8)</f>
        <v>3642.7287121100017</v>
      </c>
      <c r="AI9" s="56">
        <f t="shared" ref="AI9" si="17">SUM(AI7:AI8)</f>
        <v>3914.34470478</v>
      </c>
      <c r="AK9" s="62">
        <f>SUM(AK7:AK8)</f>
        <v>3272.0469999999987</v>
      </c>
      <c r="AL9" s="62">
        <f t="shared" ref="AL9:AO9" si="18">SUM(AL7:AL8)</f>
        <v>2916.9607512674684</v>
      </c>
      <c r="AM9" s="62">
        <f t="shared" si="18"/>
        <v>4064.3408554300022</v>
      </c>
      <c r="AN9" s="62">
        <f t="shared" si="18"/>
        <v>6800.0817962699984</v>
      </c>
      <c r="AO9" s="62">
        <f t="shared" si="18"/>
        <v>7485.9946719700019</v>
      </c>
      <c r="AP9" s="62">
        <f>SUM(AP7:AP8)</f>
        <v>9009.9931002799931</v>
      </c>
      <c r="AQ9" s="62">
        <f>SUM(AB9:AE9)</f>
        <v>6034.9888473900082</v>
      </c>
      <c r="AR9" s="62">
        <f>SUM(AF9:AI9)</f>
        <v>12797.669507450004</v>
      </c>
    </row>
    <row r="10" spans="1:46" ht="16.5">
      <c r="B10" s="57" t="s">
        <v>169</v>
      </c>
      <c r="C10" s="57" t="s">
        <v>290</v>
      </c>
      <c r="D10" s="68">
        <f>D9/D7</f>
        <v>0.14837414692894416</v>
      </c>
      <c r="E10" s="68">
        <f t="shared" ref="E10:AE10" si="19">E9/E7</f>
        <v>0.17890369136830422</v>
      </c>
      <c r="F10" s="68">
        <f t="shared" si="19"/>
        <v>0.20909645510599814</v>
      </c>
      <c r="G10" s="68">
        <f t="shared" si="19"/>
        <v>0.20844773089982455</v>
      </c>
      <c r="H10" s="68">
        <f t="shared" si="19"/>
        <v>0.1471657102683086</v>
      </c>
      <c r="I10" s="68">
        <f t="shared" si="19"/>
        <v>0.12903127186617758</v>
      </c>
      <c r="J10" s="68">
        <f t="shared" si="19"/>
        <v>0.19299121809080541</v>
      </c>
      <c r="K10" s="68">
        <f t="shared" si="19"/>
        <v>0.18225232117310175</v>
      </c>
      <c r="L10" s="68">
        <f t="shared" si="19"/>
        <v>0.16043438804496554</v>
      </c>
      <c r="M10" s="68">
        <f t="shared" si="19"/>
        <v>0.20109592470221133</v>
      </c>
      <c r="N10" s="68">
        <f t="shared" si="19"/>
        <v>0.21440085845009774</v>
      </c>
      <c r="O10" s="68">
        <f t="shared" si="19"/>
        <v>0.21318851272160685</v>
      </c>
      <c r="P10" s="68">
        <f t="shared" si="19"/>
        <v>0.26836229617090568</v>
      </c>
      <c r="Q10" s="68">
        <f t="shared" si="19"/>
        <v>0.2732723007228946</v>
      </c>
      <c r="R10" s="68">
        <f t="shared" si="19"/>
        <v>0.24682674344424821</v>
      </c>
      <c r="S10" s="68">
        <f t="shared" si="19"/>
        <v>0.23456682950514646</v>
      </c>
      <c r="T10" s="68">
        <f t="shared" si="19"/>
        <v>0.20754626779933474</v>
      </c>
      <c r="U10" s="68">
        <f t="shared" si="19"/>
        <v>0.18947759680102616</v>
      </c>
      <c r="V10" s="68">
        <f t="shared" si="19"/>
        <v>0.20256492865382814</v>
      </c>
      <c r="W10" s="68">
        <f t="shared" si="19"/>
        <v>0.21891895509988732</v>
      </c>
      <c r="X10" s="68">
        <f t="shared" si="19"/>
        <v>0.17474438394562289</v>
      </c>
      <c r="Y10" s="68">
        <f t="shared" si="19"/>
        <v>0.24325092839379203</v>
      </c>
      <c r="Z10" s="68">
        <f t="shared" si="19"/>
        <v>0.25349058559911231</v>
      </c>
      <c r="AA10" s="68">
        <f t="shared" si="19"/>
        <v>0.16054173539708974</v>
      </c>
      <c r="AB10" s="68">
        <f t="shared" si="19"/>
        <v>0.11499587627665947</v>
      </c>
      <c r="AC10" s="68">
        <f t="shared" si="19"/>
        <v>0.14478963963688346</v>
      </c>
      <c r="AD10" s="68">
        <v>0.15612542739914495</v>
      </c>
      <c r="AE10" s="68">
        <f t="shared" si="19"/>
        <v>0.16843782326598683</v>
      </c>
      <c r="AF10" s="68">
        <f t="shared" ref="AF10:AG10" si="20">AF9/AF7</f>
        <v>0.21193561051294224</v>
      </c>
      <c r="AG10" s="68">
        <f t="shared" si="20"/>
        <v>0.26338848624960554</v>
      </c>
      <c r="AH10" s="68">
        <f t="shared" ref="AH10" si="21">AH9/AH7</f>
        <v>0.29940801252585764</v>
      </c>
      <c r="AI10" s="68">
        <f t="shared" ref="AI10" si="22">AI9/AI7</f>
        <v>0.29448596311158037</v>
      </c>
      <c r="AK10" s="68">
        <f>AK9/AK7</f>
        <v>0.18726231634091478</v>
      </c>
      <c r="AL10" s="68">
        <f>AL9/AL7</f>
        <v>0.16507908059647627</v>
      </c>
      <c r="AM10" s="68">
        <f t="shared" ref="AM10:AO10" si="23">AM9/AM7</f>
        <v>0.19961500149322201</v>
      </c>
      <c r="AN10" s="68">
        <f t="shared" si="23"/>
        <v>0.25439142962959949</v>
      </c>
      <c r="AO10" s="68">
        <f t="shared" si="23"/>
        <v>0.2049639294259081</v>
      </c>
      <c r="AP10" s="68">
        <f>AP9/AP7</f>
        <v>0.20969198780488055</v>
      </c>
      <c r="AQ10" s="68">
        <f>AQ9/AQ7</f>
        <v>0.14612471002022082</v>
      </c>
      <c r="AR10" s="68">
        <f>AR9/AR7</f>
        <v>0.27015876909020586</v>
      </c>
    </row>
    <row r="11" spans="1:46" ht="16.5">
      <c r="B11" s="14"/>
      <c r="C11" s="14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K11" s="51"/>
      <c r="AL11" s="51"/>
      <c r="AM11" s="51"/>
      <c r="AN11" s="51"/>
      <c r="AO11" s="51"/>
      <c r="AP11" s="51"/>
      <c r="AQ11" s="51"/>
      <c r="AR11" s="51"/>
    </row>
    <row r="12" spans="1:46" ht="16.5">
      <c r="B12" s="57" t="s">
        <v>0</v>
      </c>
      <c r="C12" s="57" t="s">
        <v>0</v>
      </c>
      <c r="D12" s="67"/>
      <c r="E12" s="67"/>
      <c r="F12" s="67"/>
      <c r="G12" s="67"/>
      <c r="H12" s="67">
        <v>84.25800000000001</v>
      </c>
      <c r="I12" s="67">
        <f>-125.887+112.9</f>
        <v>-12.986999999999995</v>
      </c>
      <c r="J12" s="67">
        <v>267.536</v>
      </c>
      <c r="K12" s="67">
        <v>220.994</v>
      </c>
      <c r="L12" s="67">
        <v>-3.6349999999999998</v>
      </c>
      <c r="M12" s="67">
        <v>279.863</v>
      </c>
      <c r="N12" s="67">
        <v>335.37299999999999</v>
      </c>
      <c r="O12" s="67">
        <v>458.2</v>
      </c>
      <c r="P12" s="67">
        <v>740.67499999999995</v>
      </c>
      <c r="Q12" s="67">
        <v>856.77599999999984</v>
      </c>
      <c r="R12" s="67">
        <v>841.68299999999999</v>
      </c>
      <c r="S12" s="67">
        <v>804.58005733999983</v>
      </c>
      <c r="T12" s="67">
        <v>667.61400000000003</v>
      </c>
      <c r="U12" s="67">
        <v>517.25900000000001</v>
      </c>
      <c r="V12" s="67">
        <v>659.13599999999997</v>
      </c>
      <c r="W12" s="67">
        <v>789.58699999999999</v>
      </c>
      <c r="X12" s="67">
        <v>239.49331000000001</v>
      </c>
      <c r="Y12" s="67">
        <v>1123.31395</v>
      </c>
      <c r="Z12" s="67">
        <v>1372.8454048899996</v>
      </c>
      <c r="AA12" s="67">
        <v>299.89896420000099</v>
      </c>
      <c r="AB12" s="67">
        <v>-289.00133333000286</v>
      </c>
      <c r="AC12" s="67">
        <v>-38.293450730000927</v>
      </c>
      <c r="AD12" s="67">
        <v>88.334933730000003</v>
      </c>
      <c r="AE12" s="67">
        <v>192.41420587999991</v>
      </c>
      <c r="AF12" s="67">
        <v>711.92863595000017</v>
      </c>
      <c r="AG12" s="67">
        <v>1482.8731292099999</v>
      </c>
      <c r="AH12" s="67">
        <v>2045.5266766200002</v>
      </c>
      <c r="AI12" s="67">
        <v>2118.8327636100003</v>
      </c>
      <c r="AK12" s="67">
        <f>SUM(D12:G12)</f>
        <v>0</v>
      </c>
      <c r="AL12" s="67">
        <f>SUM(H12:K12)</f>
        <v>559.80100000000004</v>
      </c>
      <c r="AM12" s="67">
        <f>SUM(L12:O12)</f>
        <v>1069.8009999999999</v>
      </c>
      <c r="AN12" s="67">
        <f>SUM(P12:S12)</f>
        <v>3243.7140573399997</v>
      </c>
      <c r="AO12" s="67">
        <f>SUM(T12:W12)</f>
        <v>2633.596</v>
      </c>
      <c r="AP12" s="67">
        <f>SUM(X12:AA12)</f>
        <v>3035.5516290900009</v>
      </c>
      <c r="AQ12" s="67">
        <f>SUM(AB12:AE12)</f>
        <v>-46.545644450003891</v>
      </c>
      <c r="AR12" s="67">
        <f>SUM(AF12:AI12)</f>
        <v>6359.1612053900008</v>
      </c>
    </row>
    <row r="13" spans="1:46" ht="16.5">
      <c r="B13" s="57" t="s">
        <v>170</v>
      </c>
      <c r="C13" s="57" t="s">
        <v>291</v>
      </c>
      <c r="D13" s="68"/>
      <c r="E13" s="68"/>
      <c r="F13" s="68"/>
      <c r="G13" s="68"/>
      <c r="H13" s="68">
        <f t="shared" ref="H13:AE13" si="24">H12/H7</f>
        <v>2.1199695759784084E-2</v>
      </c>
      <c r="I13" s="68">
        <f t="shared" si="24"/>
        <v>-3.1763222018998359E-3</v>
      </c>
      <c r="J13" s="68">
        <f t="shared" si="24"/>
        <v>5.3598231235931111E-2</v>
      </c>
      <c r="K13" s="68">
        <f t="shared" si="24"/>
        <v>4.7881965480071384E-2</v>
      </c>
      <c r="L13" s="68">
        <f t="shared" si="24"/>
        <v>-8.6604097291066706E-4</v>
      </c>
      <c r="M13" s="68">
        <f t="shared" si="24"/>
        <v>5.5076277642392181E-2</v>
      </c>
      <c r="N13" s="68">
        <f t="shared" si="24"/>
        <v>6.2543661937159628E-2</v>
      </c>
      <c r="O13" s="68">
        <f t="shared" si="24"/>
        <v>8.0104266938577209E-2</v>
      </c>
      <c r="P13" s="68">
        <f t="shared" si="24"/>
        <v>0.12696650881741625</v>
      </c>
      <c r="Q13" s="68">
        <f t="shared" si="24"/>
        <v>0.13404582374076235</v>
      </c>
      <c r="R13" s="68">
        <f t="shared" si="24"/>
        <v>0.12085275495140879</v>
      </c>
      <c r="S13" s="68">
        <f t="shared" si="24"/>
        <v>0.10669466298343533</v>
      </c>
      <c r="T13" s="68">
        <f t="shared" si="24"/>
        <v>8.5131138684678032E-2</v>
      </c>
      <c r="U13" s="68">
        <f t="shared" si="24"/>
        <v>5.7873572304232131E-2</v>
      </c>
      <c r="V13" s="68">
        <f t="shared" si="24"/>
        <v>6.8502301992288586E-2</v>
      </c>
      <c r="W13" s="68">
        <f t="shared" si="24"/>
        <v>7.8011259008151701E-2</v>
      </c>
      <c r="X13" s="68">
        <f t="shared" si="24"/>
        <v>2.5242442278026925E-2</v>
      </c>
      <c r="Y13" s="68">
        <f t="shared" si="24"/>
        <v>0.10517804132632269</v>
      </c>
      <c r="Z13" s="68">
        <f t="shared" si="24"/>
        <v>0.116663573473839</v>
      </c>
      <c r="AA13" s="68">
        <f t="shared" si="24"/>
        <v>2.7183596100645621E-2</v>
      </c>
      <c r="AB13" s="68">
        <f t="shared" si="24"/>
        <v>-2.7978082044459181E-2</v>
      </c>
      <c r="AC13" s="68">
        <f t="shared" si="24"/>
        <v>-3.7140434935254208E-3</v>
      </c>
      <c r="AD13" s="68">
        <v>8.6536913343320566E-3</v>
      </c>
      <c r="AE13" s="68">
        <f t="shared" si="24"/>
        <v>1.8408477970147587E-2</v>
      </c>
      <c r="AF13" s="68">
        <f t="shared" ref="AF13:AI13" si="25">AF12/AF7</f>
        <v>6.9001876772361942E-2</v>
      </c>
      <c r="AG13" s="68">
        <f t="shared" si="25"/>
        <v>0.1278908790658527</v>
      </c>
      <c r="AH13" s="68">
        <f t="shared" si="25"/>
        <v>0.16812865442858227</v>
      </c>
      <c r="AI13" s="68">
        <f t="shared" si="25"/>
        <v>0.15940509947989659</v>
      </c>
      <c r="AK13" s="68">
        <f>AK12/AK7</f>
        <v>0</v>
      </c>
      <c r="AL13" s="68">
        <f t="shared" ref="AL13:AO13" si="26">AL12/AL7</f>
        <v>3.1680726028567134E-2</v>
      </c>
      <c r="AM13" s="68">
        <f t="shared" si="26"/>
        <v>5.2541933811271653E-2</v>
      </c>
      <c r="AN13" s="68">
        <f t="shared" si="26"/>
        <v>0.12134751920322158</v>
      </c>
      <c r="AO13" s="68">
        <f t="shared" si="26"/>
        <v>7.2106942141104025E-2</v>
      </c>
      <c r="AP13" s="68">
        <f>AP12/AP7</f>
        <v>7.0647207839531531E-2</v>
      </c>
      <c r="AQ13" s="68">
        <f>AQ12/AQ7</f>
        <v>-1.1270060260181913E-3</v>
      </c>
      <c r="AR13" s="68">
        <f>AR12/AR7</f>
        <v>0.1342418760458105</v>
      </c>
    </row>
    <row r="14" spans="1:46" ht="16.5">
      <c r="B14" s="12"/>
      <c r="C14" s="12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K14" s="51">
        <f>985+AK12-AK15</f>
        <v>-583.70299999999997</v>
      </c>
      <c r="AL14" s="51">
        <f>983+AL12-AL15</f>
        <v>112.58725163000008</v>
      </c>
      <c r="AM14" s="51">
        <f>1183+AM12-AM15</f>
        <v>2.7744999999868014E-2</v>
      </c>
      <c r="AN14" s="51"/>
      <c r="AO14" s="51"/>
      <c r="AP14" s="51"/>
      <c r="AQ14" s="51"/>
      <c r="AR14" s="51"/>
    </row>
    <row r="15" spans="1:46" ht="16.5">
      <c r="B15" s="57" t="s">
        <v>1</v>
      </c>
      <c r="C15" s="57" t="s">
        <v>1</v>
      </c>
      <c r="D15" s="62">
        <v>215.791</v>
      </c>
      <c r="E15" s="62">
        <v>356.06700000000001</v>
      </c>
      <c r="F15" s="62">
        <v>508.49</v>
      </c>
      <c r="G15" s="62">
        <v>488.35500000000002</v>
      </c>
      <c r="H15" s="62">
        <v>330.16399999999999</v>
      </c>
      <c r="I15" s="62">
        <f>226.721-113</f>
        <v>113.721</v>
      </c>
      <c r="J15" s="62">
        <v>512.08299999999997</v>
      </c>
      <c r="K15" s="62">
        <v>474.24574837</v>
      </c>
      <c r="L15" s="62">
        <v>278.04700000000003</v>
      </c>
      <c r="M15" s="62">
        <v>563.41200000000003</v>
      </c>
      <c r="N15" s="62">
        <v>705.29499999999996</v>
      </c>
      <c r="O15" s="62">
        <v>706.01925500000004</v>
      </c>
      <c r="P15" s="62">
        <v>983.59400000000005</v>
      </c>
      <c r="Q15" s="62">
        <v>1079.7470000000001</v>
      </c>
      <c r="R15" s="62">
        <v>1096.0619999999999</v>
      </c>
      <c r="S15" s="62">
        <v>1064.4950573399999</v>
      </c>
      <c r="T15" s="62">
        <v>932.58088099999998</v>
      </c>
      <c r="U15" s="62">
        <v>808.71578799999997</v>
      </c>
      <c r="V15" s="62">
        <v>984.2</v>
      </c>
      <c r="W15" s="62">
        <v>1134.9835800000001</v>
      </c>
      <c r="X15" s="62">
        <v>616.15931</v>
      </c>
      <c r="Y15" s="62">
        <v>1505.4295910000001</v>
      </c>
      <c r="Z15" s="62">
        <v>1780.2901388899995</v>
      </c>
      <c r="AA15" s="62">
        <v>703.88815325000132</v>
      </c>
      <c r="AB15" s="62">
        <v>146.95433185999713</v>
      </c>
      <c r="AC15" s="62">
        <v>419.89033075999913</v>
      </c>
      <c r="AD15" s="62">
        <v>566.44031045000008</v>
      </c>
      <c r="AE15" s="62">
        <v>670.39091370999984</v>
      </c>
      <c r="AF15" s="62">
        <v>1191.9741490899996</v>
      </c>
      <c r="AG15" s="62">
        <v>2019.4689969399999</v>
      </c>
      <c r="AH15" s="62">
        <v>2557.7836921199996</v>
      </c>
      <c r="AI15" s="62">
        <v>2627.1354259399995</v>
      </c>
      <c r="AK15" s="62">
        <f>SUM(D15:G15)</f>
        <v>1568.703</v>
      </c>
      <c r="AL15" s="62">
        <f>SUM(H15:K15)</f>
        <v>1430.2137483699998</v>
      </c>
      <c r="AM15" s="62">
        <f>SUM(L15:O15)</f>
        <v>2252.7732550000001</v>
      </c>
      <c r="AN15" s="62">
        <f>SUM(P15:S15)</f>
        <v>4223.8980573400004</v>
      </c>
      <c r="AO15" s="62">
        <f>SUM(T15:W15)</f>
        <v>3860.4802490000002</v>
      </c>
      <c r="AP15" s="62">
        <f>SUM(X15:AA15)</f>
        <v>4605.7671931400009</v>
      </c>
      <c r="AQ15" s="62">
        <f>SUM(AB15:AE15)</f>
        <v>1803.6758867799963</v>
      </c>
      <c r="AR15" s="62">
        <f>SUM(AF15:AI15)</f>
        <v>8396.3622640899994</v>
      </c>
    </row>
    <row r="16" spans="1:46" ht="16.5">
      <c r="B16" s="57" t="s">
        <v>97</v>
      </c>
      <c r="C16" s="57" t="s">
        <v>237</v>
      </c>
      <c r="D16" s="68">
        <f t="shared" ref="D16:AE16" si="27">D15/D7</f>
        <v>5.2822110818458647E-2</v>
      </c>
      <c r="E16" s="68">
        <f t="shared" si="27"/>
        <v>8.2354288093255609E-2</v>
      </c>
      <c r="F16" s="68">
        <f t="shared" si="27"/>
        <v>0.11078937621195285</v>
      </c>
      <c r="G16" s="68">
        <f t="shared" si="27"/>
        <v>0.10914114497465321</v>
      </c>
      <c r="H16" s="68">
        <f t="shared" si="27"/>
        <v>8.3070763023491562E-2</v>
      </c>
      <c r="I16" s="68">
        <f t="shared" si="27"/>
        <v>2.781354717196053E-2</v>
      </c>
      <c r="J16" s="68">
        <f t="shared" si="27"/>
        <v>0.10259084028313688</v>
      </c>
      <c r="K16" s="68">
        <f t="shared" si="27"/>
        <v>0.10275309986933112</v>
      </c>
      <c r="L16" s="68">
        <f t="shared" si="27"/>
        <v>6.624486778401438E-2</v>
      </c>
      <c r="M16" s="68">
        <f t="shared" si="27"/>
        <v>0.11087795006505134</v>
      </c>
      <c r="N16" s="68">
        <f t="shared" si="27"/>
        <v>0.13153036185372408</v>
      </c>
      <c r="O16" s="68">
        <f t="shared" si="27"/>
        <v>0.12342897177279663</v>
      </c>
      <c r="P16" s="68">
        <f t="shared" si="27"/>
        <v>0.16860768390151923</v>
      </c>
      <c r="Q16" s="68">
        <f t="shared" si="27"/>
        <v>0.16893047429738575</v>
      </c>
      <c r="R16" s="68">
        <f t="shared" si="27"/>
        <v>0.15737767342045761</v>
      </c>
      <c r="S16" s="68">
        <f t="shared" si="27"/>
        <v>0.14116176551270024</v>
      </c>
      <c r="T16" s="68">
        <f t="shared" si="27"/>
        <v>0.11891852524825755</v>
      </c>
      <c r="U16" s="68">
        <f t="shared" si="27"/>
        <v>9.0483242689623697E-2</v>
      </c>
      <c r="V16" s="68">
        <f t="shared" si="27"/>
        <v>0.10228536390185095</v>
      </c>
      <c r="W16" s="68">
        <f t="shared" si="27"/>
        <v>0.1121364688493849</v>
      </c>
      <c r="X16" s="68">
        <f t="shared" si="27"/>
        <v>6.4942798680864597E-2</v>
      </c>
      <c r="Y16" s="68">
        <f t="shared" si="27"/>
        <v>0.1409562622595999</v>
      </c>
      <c r="Z16" s="68">
        <f t="shared" si="27"/>
        <v>0.15128798092148346</v>
      </c>
      <c r="AA16" s="68">
        <f t="shared" si="27"/>
        <v>6.3802191878251646E-2</v>
      </c>
      <c r="AB16" s="68">
        <f t="shared" si="27"/>
        <v>1.4226579186307316E-2</v>
      </c>
      <c r="AC16" s="68">
        <f t="shared" si="27"/>
        <v>4.0724743297465005E-2</v>
      </c>
      <c r="AD16" s="68">
        <v>5.549106564046466E-2</v>
      </c>
      <c r="AE16" s="68">
        <f t="shared" si="27"/>
        <v>6.413703348968991E-2</v>
      </c>
      <c r="AF16" s="68">
        <f t="shared" ref="AF16:AH16" si="28">AF15/AF7</f>
        <v>0.11552907018776748</v>
      </c>
      <c r="AG16" s="68">
        <f t="shared" si="28"/>
        <v>0.17416976555673816</v>
      </c>
      <c r="AH16" s="68">
        <f t="shared" si="28"/>
        <v>0.2102327656689833</v>
      </c>
      <c r="AI16" s="68">
        <f>AI15/AI7</f>
        <v>0.19764598278423073</v>
      </c>
      <c r="AK16" s="68">
        <f>AK15/AK7</f>
        <v>8.977834286333361E-2</v>
      </c>
      <c r="AL16" s="68">
        <f t="shared" ref="AL16:AO16" si="29">AL15/AL7</f>
        <v>8.0939851705159535E-2</v>
      </c>
      <c r="AM16" s="68">
        <f t="shared" si="29"/>
        <v>0.11064213181331202</v>
      </c>
      <c r="AN16" s="68">
        <f t="shared" si="29"/>
        <v>0.15801625592295251</v>
      </c>
      <c r="AO16" s="68">
        <f t="shared" si="29"/>
        <v>0.10569860599405446</v>
      </c>
      <c r="AP16" s="68">
        <f>AP15/AP7</f>
        <v>0.10719125612493746</v>
      </c>
      <c r="AQ16" s="68">
        <f>AQ15/AQ7</f>
        <v>4.3672262300894861E-2</v>
      </c>
      <c r="AR16" s="68">
        <f>AR15/AR7</f>
        <v>0.17724718494890931</v>
      </c>
    </row>
    <row r="18" spans="2:45" ht="16.5">
      <c r="B18" s="6" t="s">
        <v>172</v>
      </c>
      <c r="C18" s="6" t="s">
        <v>292</v>
      </c>
      <c r="D18" s="44" t="s">
        <v>20</v>
      </c>
      <c r="E18" s="44" t="s">
        <v>21</v>
      </c>
      <c r="F18" s="44" t="s">
        <v>22</v>
      </c>
      <c r="G18" s="44" t="s">
        <v>23</v>
      </c>
      <c r="H18" s="44" t="s">
        <v>24</v>
      </c>
      <c r="I18" s="44" t="s">
        <v>25</v>
      </c>
      <c r="J18" s="44" t="s">
        <v>26</v>
      </c>
      <c r="K18" s="44" t="s">
        <v>27</v>
      </c>
      <c r="L18" s="44" t="s">
        <v>28</v>
      </c>
      <c r="M18" s="44" t="s">
        <v>29</v>
      </c>
      <c r="N18" s="44" t="s">
        <v>30</v>
      </c>
      <c r="O18" s="44" t="s">
        <v>31</v>
      </c>
      <c r="P18" s="44" t="s">
        <v>32</v>
      </c>
      <c r="Q18" s="44" t="s">
        <v>33</v>
      </c>
      <c r="R18" s="44" t="s">
        <v>34</v>
      </c>
      <c r="S18" s="44" t="s">
        <v>35</v>
      </c>
      <c r="T18" s="44" t="s">
        <v>36</v>
      </c>
      <c r="U18" s="44" t="s">
        <v>183</v>
      </c>
      <c r="V18" s="44" t="s">
        <v>187</v>
      </c>
      <c r="W18" s="44" t="str">
        <f>W5</f>
        <v>4Q21</v>
      </c>
      <c r="X18" s="45" t="s">
        <v>189</v>
      </c>
      <c r="Y18" s="17" t="s">
        <v>302</v>
      </c>
      <c r="Z18" s="17" t="s">
        <v>354</v>
      </c>
      <c r="AA18" s="17" t="s">
        <v>355</v>
      </c>
      <c r="AB18" s="17" t="s">
        <v>393</v>
      </c>
      <c r="AC18" s="17" t="s">
        <v>398</v>
      </c>
      <c r="AD18" s="17" t="s">
        <v>428</v>
      </c>
      <c r="AE18" s="17" t="str">
        <f>AE5</f>
        <v>4Q23</v>
      </c>
      <c r="AF18" s="17" t="str">
        <f>AF5</f>
        <v>1Q24</v>
      </c>
      <c r="AG18" s="17" t="str">
        <f>AG5</f>
        <v>2Q24</v>
      </c>
      <c r="AH18" s="17" t="s">
        <v>442</v>
      </c>
      <c r="AI18" s="17" t="str">
        <f>AI5</f>
        <v>4Q24</v>
      </c>
      <c r="AK18" s="44">
        <v>2017</v>
      </c>
      <c r="AL18" s="44">
        <v>2018</v>
      </c>
      <c r="AM18" s="44">
        <v>2019</v>
      </c>
      <c r="AN18" s="44">
        <v>2020</v>
      </c>
      <c r="AO18" s="44">
        <v>2021</v>
      </c>
      <c r="AP18" s="44">
        <v>2022</v>
      </c>
      <c r="AQ18" s="44">
        <f>AQ5</f>
        <v>2023</v>
      </c>
      <c r="AR18" s="44">
        <f>AR5</f>
        <v>2024</v>
      </c>
    </row>
    <row r="19" spans="2:45" ht="16.5">
      <c r="B19" s="12"/>
      <c r="C19" s="12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K19" s="49"/>
      <c r="AL19" s="49"/>
      <c r="AM19" s="49"/>
      <c r="AN19" s="49"/>
      <c r="AO19" s="49"/>
      <c r="AP19" s="49"/>
      <c r="AQ19" s="49"/>
      <c r="AR19" s="49"/>
    </row>
    <row r="20" spans="2:45" ht="16.5">
      <c r="B20" s="57" t="s">
        <v>78</v>
      </c>
      <c r="C20" s="57" t="s">
        <v>239</v>
      </c>
      <c r="D20" s="67">
        <v>6211.4</v>
      </c>
      <c r="E20" s="67">
        <v>6185.7</v>
      </c>
      <c r="F20" s="67">
        <v>5131.2</v>
      </c>
      <c r="G20" s="67">
        <v>6241.9</v>
      </c>
      <c r="H20" s="67">
        <v>6300.277</v>
      </c>
      <c r="I20" s="67">
        <v>6236.6689999999999</v>
      </c>
      <c r="J20" s="67">
        <v>7582.9290000000001</v>
      </c>
      <c r="K20" s="67">
        <v>7459.027</v>
      </c>
      <c r="L20" s="67">
        <v>6764.1639999999998</v>
      </c>
      <c r="M20" s="67">
        <v>7172.2520000000004</v>
      </c>
      <c r="N20" s="67">
        <v>8445.6929999999993</v>
      </c>
      <c r="O20" s="67">
        <v>9577.9892700599994</v>
      </c>
      <c r="P20" s="67">
        <v>8159.64</v>
      </c>
      <c r="Q20" s="67">
        <v>8720.9770000000008</v>
      </c>
      <c r="R20" s="67">
        <v>11430.57</v>
      </c>
      <c r="S20" s="67">
        <v>13396.098778400001</v>
      </c>
      <c r="T20" s="67">
        <v>11533.263971</v>
      </c>
      <c r="U20" s="67">
        <v>12736.715</v>
      </c>
      <c r="V20" s="67">
        <v>15460.4</v>
      </c>
      <c r="W20" s="67">
        <v>14072.873637949999</v>
      </c>
      <c r="X20" s="67">
        <v>14329.298125430001</v>
      </c>
      <c r="Y20" s="67">
        <v>14108.111368160002</v>
      </c>
      <c r="Z20" s="67">
        <v>16240.154678140001</v>
      </c>
      <c r="AA20" s="67">
        <v>14271.324972900002</v>
      </c>
      <c r="AB20" s="67">
        <v>12199.593054929999</v>
      </c>
      <c r="AC20" s="67">
        <v>13986.214342540003</v>
      </c>
      <c r="AD20" s="67">
        <v>14441.140822029998</v>
      </c>
      <c r="AE20" s="67">
        <v>14904.887404980002</v>
      </c>
      <c r="AF20" s="67">
        <v>14234.328503930001</v>
      </c>
      <c r="AG20" s="67">
        <v>15546.779</v>
      </c>
      <c r="AH20" s="67">
        <v>18057.961824000002</v>
      </c>
      <c r="AI20" s="67">
        <v>20334.032921999999</v>
      </c>
      <c r="AK20" s="67">
        <f>SUM(D20:G20)</f>
        <v>23770.199999999997</v>
      </c>
      <c r="AL20" s="67">
        <f>SUM(H20:K20)</f>
        <v>27578.902000000002</v>
      </c>
      <c r="AM20" s="67">
        <f>SUM(L20:O20)</f>
        <v>31960.09827006</v>
      </c>
      <c r="AN20" s="67">
        <f>SUM(P20:S20)</f>
        <v>41707.285778400001</v>
      </c>
      <c r="AO20" s="67">
        <f>SUM(T20:W20)</f>
        <v>53803.252608949995</v>
      </c>
      <c r="AP20" s="67">
        <f>SUM(X20:AA20)</f>
        <v>58948.889144630004</v>
      </c>
      <c r="AQ20" s="67">
        <f>SUM(AB20:AE20)</f>
        <v>55531.835624480002</v>
      </c>
      <c r="AR20" s="67">
        <f>SUM(AF20:AI20)</f>
        <v>68173.102249930002</v>
      </c>
      <c r="AS20" s="111"/>
    </row>
    <row r="21" spans="2:45" ht="16.5">
      <c r="B21" s="9" t="s">
        <v>168</v>
      </c>
      <c r="C21" s="9" t="s">
        <v>318</v>
      </c>
      <c r="D21" s="50">
        <v>-5276</v>
      </c>
      <c r="E21" s="50">
        <v>-5058.6850000000004</v>
      </c>
      <c r="F21" s="50">
        <v>-4182.009</v>
      </c>
      <c r="G21" s="50">
        <v>-5322.2659999999996</v>
      </c>
      <c r="H21" s="50">
        <v>-5548.4122539500004</v>
      </c>
      <c r="I21" s="50">
        <v>-4975.0608634700002</v>
      </c>
      <c r="J21" s="50">
        <v>-5935.2450349000001</v>
      </c>
      <c r="K21" s="50">
        <v>-6167.7397688399997</v>
      </c>
      <c r="L21" s="50">
        <v>-5701.4629999999997</v>
      </c>
      <c r="M21" s="50">
        <v>-5855.6319999999996</v>
      </c>
      <c r="N21" s="50">
        <v>-6684.2150000000001</v>
      </c>
      <c r="O21" s="50">
        <v>-7835.0409585199995</v>
      </c>
      <c r="P21" s="50">
        <v>-6883.5729999999994</v>
      </c>
      <c r="Q21" s="50">
        <v>-6595.8639999999996</v>
      </c>
      <c r="R21" s="50">
        <v>-9525.3680000000004</v>
      </c>
      <c r="S21" s="50">
        <v>-11430.593953940001</v>
      </c>
      <c r="T21" s="50">
        <v>-10306.15633159</v>
      </c>
      <c r="U21" s="50">
        <v>-11140.252923620001</v>
      </c>
      <c r="V21" s="50">
        <v>-13154.8</v>
      </c>
      <c r="W21" s="50">
        <v>-11917.386157269997</v>
      </c>
      <c r="X21" s="50">
        <v>-12351.148760270002</v>
      </c>
      <c r="Y21" s="50">
        <v>-11839.453921689999</v>
      </c>
      <c r="Z21" s="50">
        <v>-13550.506637790002</v>
      </c>
      <c r="AA21" s="50">
        <v>-12346.147834979998</v>
      </c>
      <c r="AB21" s="50">
        <v>-10604.155344620001</v>
      </c>
      <c r="AC21" s="50">
        <v>-11852.896134850002</v>
      </c>
      <c r="AD21" s="50">
        <v>-12240.5834748</v>
      </c>
      <c r="AE21" s="50">
        <v>-12302.877632409998</v>
      </c>
      <c r="AF21" s="50">
        <v>-12189.165705870002</v>
      </c>
      <c r="AG21" s="50">
        <v>-12657.562296389999</v>
      </c>
      <c r="AH21" s="50">
        <v>-14059.808156429999</v>
      </c>
      <c r="AI21" s="50">
        <v>-17121.541062059998</v>
      </c>
      <c r="AK21" s="50">
        <f>SUM(D21:G21)</f>
        <v>-19838.96</v>
      </c>
      <c r="AL21" s="50">
        <f>SUM(H21:K21)</f>
        <v>-22626.457921159999</v>
      </c>
      <c r="AM21" s="50">
        <f>SUM(L21:O21)</f>
        <v>-26076.350958519997</v>
      </c>
      <c r="AN21" s="50">
        <f>SUM(P21:S21)</f>
        <v>-34435.398953939999</v>
      </c>
      <c r="AO21" s="50">
        <f>SUM(T21:W21)</f>
        <v>-46518.595412479997</v>
      </c>
      <c r="AP21" s="50">
        <f>SUM(X21:AA21)</f>
        <v>-50087.257154730003</v>
      </c>
      <c r="AQ21" s="50">
        <f>SUM(AB21:AE21)</f>
        <v>-47000.512586680001</v>
      </c>
      <c r="AR21" s="50">
        <f>SUM(AF21:AI21)</f>
        <v>-56028.077220749998</v>
      </c>
    </row>
    <row r="22" spans="2:45" ht="16.5">
      <c r="B22" s="57" t="s">
        <v>80</v>
      </c>
      <c r="C22" s="57" t="s">
        <v>319</v>
      </c>
      <c r="D22" s="62">
        <f t="shared" ref="D22" si="30">D20+D21</f>
        <v>935.39999999999964</v>
      </c>
      <c r="E22" s="62">
        <f>E20+E21</f>
        <v>1127.0149999999994</v>
      </c>
      <c r="F22" s="62">
        <f>F20+F21</f>
        <v>949.1909999999998</v>
      </c>
      <c r="G22" s="62">
        <f t="shared" ref="G22" si="31">G20+G21</f>
        <v>919.63400000000001</v>
      </c>
      <c r="H22" s="62">
        <f t="shared" ref="H22:S22" si="32">H20+H21</f>
        <v>751.86474604999967</v>
      </c>
      <c r="I22" s="62">
        <f t="shared" si="32"/>
        <v>1261.6081365299997</v>
      </c>
      <c r="J22" s="62">
        <f t="shared" si="32"/>
        <v>1647.6839651</v>
      </c>
      <c r="K22" s="62">
        <f t="shared" si="32"/>
        <v>1291.2872311600004</v>
      </c>
      <c r="L22" s="62">
        <f t="shared" si="32"/>
        <v>1062.701</v>
      </c>
      <c r="M22" s="62">
        <f t="shared" si="32"/>
        <v>1316.6200000000008</v>
      </c>
      <c r="N22" s="62">
        <f t="shared" si="32"/>
        <v>1761.4779999999992</v>
      </c>
      <c r="O22" s="62">
        <f t="shared" si="32"/>
        <v>1742.9483115399998</v>
      </c>
      <c r="P22" s="62">
        <f t="shared" si="32"/>
        <v>1276.0670000000009</v>
      </c>
      <c r="Q22" s="62">
        <f t="shared" si="32"/>
        <v>2125.1130000000012</v>
      </c>
      <c r="R22" s="62">
        <f t="shared" si="32"/>
        <v>1905.2019999999993</v>
      </c>
      <c r="S22" s="62">
        <f t="shared" si="32"/>
        <v>1965.5048244600002</v>
      </c>
      <c r="T22" s="62">
        <v>1227.10763941</v>
      </c>
      <c r="U22" s="62">
        <v>1596.4620763799994</v>
      </c>
      <c r="V22" s="62">
        <v>2305.6</v>
      </c>
      <c r="W22" s="62">
        <v>2155.4874806800017</v>
      </c>
      <c r="X22" s="56">
        <f t="shared" ref="X22:AE22" si="33">SUM(X20:X21)</f>
        <v>1978.1493651599994</v>
      </c>
      <c r="Y22" s="56">
        <f t="shared" si="33"/>
        <v>2268.6574464700025</v>
      </c>
      <c r="Z22" s="56">
        <f t="shared" si="33"/>
        <v>2689.6480403499991</v>
      </c>
      <c r="AA22" s="56">
        <f t="shared" si="33"/>
        <v>1925.1771379200036</v>
      </c>
      <c r="AB22" s="56">
        <f t="shared" si="33"/>
        <v>1595.4377103099978</v>
      </c>
      <c r="AC22" s="56">
        <f t="shared" si="33"/>
        <v>2133.3182076900011</v>
      </c>
      <c r="AD22" s="56">
        <f t="shared" si="33"/>
        <v>2200.5573472299984</v>
      </c>
      <c r="AE22" s="56">
        <f t="shared" si="33"/>
        <v>2602.0097725700034</v>
      </c>
      <c r="AF22" s="56">
        <f t="shared" ref="AF22" si="34">SUM(AF20:AF21)</f>
        <v>2045.1627980599987</v>
      </c>
      <c r="AG22" s="56">
        <f t="shared" ref="AG22:AI22" si="35">SUM(AG20:AG21)</f>
        <v>2889.2167036100018</v>
      </c>
      <c r="AH22" s="56">
        <f t="shared" si="35"/>
        <v>3998.1536675700027</v>
      </c>
      <c r="AI22" s="56">
        <f t="shared" si="35"/>
        <v>3212.4918599400007</v>
      </c>
      <c r="AK22" s="62">
        <f>SUM(AK20:AK21)</f>
        <v>3931.239999999998</v>
      </c>
      <c r="AL22" s="62">
        <f t="shared" ref="AL22" si="36">SUM(AL20:AL21)</f>
        <v>4952.4440788400025</v>
      </c>
      <c r="AM22" s="62">
        <f t="shared" ref="AM22" si="37">SUM(AM20:AM21)</f>
        <v>5883.7473115400026</v>
      </c>
      <c r="AN22" s="62">
        <f t="shared" ref="AN22" si="38">SUM(AN20:AN21)</f>
        <v>7271.8868244600017</v>
      </c>
      <c r="AO22" s="62">
        <f t="shared" ref="AO22" si="39">SUM(AO20:AO21)</f>
        <v>7284.6571964699979</v>
      </c>
      <c r="AP22" s="62">
        <f>SUM(AP20:AP21)</f>
        <v>8861.6319899000009</v>
      </c>
      <c r="AQ22" s="62">
        <f>SUM(AB22:AE22)</f>
        <v>8531.3230378000007</v>
      </c>
      <c r="AR22" s="62">
        <f>SUM(AF22:AI22)</f>
        <v>12145.025029180004</v>
      </c>
    </row>
    <row r="23" spans="2:45" ht="16.5">
      <c r="B23" s="57" t="s">
        <v>169</v>
      </c>
      <c r="C23" s="57" t="s">
        <v>290</v>
      </c>
      <c r="D23" s="68">
        <f>D22/D20</f>
        <v>0.15059406896995842</v>
      </c>
      <c r="E23" s="68">
        <f t="shared" ref="E23:AE23" si="40">E22/E20</f>
        <v>0.18219684110124956</v>
      </c>
      <c r="F23" s="68">
        <f t="shared" si="40"/>
        <v>0.18498421421889613</v>
      </c>
      <c r="G23" s="68">
        <f t="shared" si="40"/>
        <v>0.14733238276806743</v>
      </c>
      <c r="H23" s="68">
        <f t="shared" si="40"/>
        <v>0.11933836338465748</v>
      </c>
      <c r="I23" s="68">
        <f t="shared" si="40"/>
        <v>0.20228877571184228</v>
      </c>
      <c r="J23" s="68">
        <f t="shared" si="40"/>
        <v>0.21728859192800037</v>
      </c>
      <c r="K23" s="68">
        <f t="shared" si="40"/>
        <v>0.17311738262376586</v>
      </c>
      <c r="L23" s="68">
        <f t="shared" si="40"/>
        <v>0.15710751542984469</v>
      </c>
      <c r="M23" s="68">
        <f t="shared" si="40"/>
        <v>0.18357135248454751</v>
      </c>
      <c r="N23" s="68">
        <f t="shared" si="40"/>
        <v>0.20856524147870392</v>
      </c>
      <c r="O23" s="68">
        <f t="shared" si="40"/>
        <v>0.18197434371620272</v>
      </c>
      <c r="P23" s="68">
        <f t="shared" si="40"/>
        <v>0.15638765925947723</v>
      </c>
      <c r="Q23" s="68">
        <f t="shared" si="40"/>
        <v>0.24367831723441088</v>
      </c>
      <c r="R23" s="68">
        <f t="shared" si="40"/>
        <v>0.16667602752968569</v>
      </c>
      <c r="S23" s="68">
        <f t="shared" si="40"/>
        <v>0.14672218061195541</v>
      </c>
      <c r="T23" s="68">
        <f t="shared" si="40"/>
        <v>0.10639725601490788</v>
      </c>
      <c r="U23" s="68">
        <f t="shared" si="40"/>
        <v>0.12534331469142548</v>
      </c>
      <c r="V23" s="68">
        <f t="shared" si="40"/>
        <v>0.14912938863160075</v>
      </c>
      <c r="W23" s="68">
        <f t="shared" si="40"/>
        <v>0.1531661220113103</v>
      </c>
      <c r="X23" s="68">
        <f t="shared" si="40"/>
        <v>0.13804928530654309</v>
      </c>
      <c r="Y23" s="68">
        <f t="shared" si="40"/>
        <v>0.16080518414321843</v>
      </c>
      <c r="Z23" s="68">
        <f t="shared" si="40"/>
        <v>0.16561714427328636</v>
      </c>
      <c r="AA23" s="68">
        <f t="shared" si="40"/>
        <v>0.13489827619900371</v>
      </c>
      <c r="AB23" s="68">
        <f t="shared" si="40"/>
        <v>0.13077794506147586</v>
      </c>
      <c r="AC23" s="68">
        <f t="shared" si="40"/>
        <v>0.1525300667816431</v>
      </c>
      <c r="AD23" s="68">
        <v>0.15238112932691872</v>
      </c>
      <c r="AE23" s="68">
        <f t="shared" si="40"/>
        <v>0.17457426559965983</v>
      </c>
      <c r="AF23" s="68">
        <f t="shared" ref="AF23:AH23" si="41">AF22/AF20</f>
        <v>0.14367820705383771</v>
      </c>
      <c r="AG23" s="68">
        <f t="shared" si="41"/>
        <v>0.18584021189276581</v>
      </c>
      <c r="AH23" s="68">
        <f t="shared" si="41"/>
        <v>0.2214066962006887</v>
      </c>
      <c r="AI23" s="68">
        <f t="shared" ref="AI23" si="42">AI22/AI20</f>
        <v>0.15798596728267858</v>
      </c>
      <c r="AK23" s="68">
        <f>AK22/AK20</f>
        <v>0.16538523024627469</v>
      </c>
      <c r="AL23" s="68">
        <f t="shared" ref="AL23" si="43">AL22/AL20</f>
        <v>0.17957364940924778</v>
      </c>
      <c r="AM23" s="68">
        <f t="shared" ref="AM23" si="44">AM22/AM20</f>
        <v>0.18409665895964583</v>
      </c>
      <c r="AN23" s="68">
        <f t="shared" ref="AN23" si="45">AN22/AN20</f>
        <v>0.17435531199745624</v>
      </c>
      <c r="AO23" s="68">
        <f t="shared" ref="AO23" si="46">AO22/AO20</f>
        <v>0.13539436452691744</v>
      </c>
      <c r="AP23" s="68">
        <f>AP22/AP20</f>
        <v>0.15032737882741354</v>
      </c>
      <c r="AQ23" s="68">
        <f>AQ22/AQ20</f>
        <v>0.15362940810188441</v>
      </c>
      <c r="AR23" s="68">
        <f>AR22/AR20</f>
        <v>0.17814980730457333</v>
      </c>
    </row>
    <row r="24" spans="2:45" ht="16.5">
      <c r="B24" s="14"/>
      <c r="C24" s="14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K24" s="51"/>
      <c r="AL24" s="51"/>
      <c r="AM24" s="51"/>
      <c r="AN24" s="51"/>
      <c r="AO24" s="51"/>
      <c r="AP24" s="51"/>
      <c r="AQ24" s="51"/>
      <c r="AR24" s="51"/>
    </row>
    <row r="25" spans="2:45" ht="16.5">
      <c r="B25" s="57" t="s">
        <v>0</v>
      </c>
      <c r="C25" s="57" t="s">
        <v>0</v>
      </c>
      <c r="D25" s="67"/>
      <c r="E25" s="67"/>
      <c r="F25" s="67"/>
      <c r="G25" s="67"/>
      <c r="H25" s="67">
        <v>-301.35900000000004</v>
      </c>
      <c r="I25" s="67">
        <v>153.983</v>
      </c>
      <c r="J25" s="67">
        <v>514.22199999999998</v>
      </c>
      <c r="K25" s="67">
        <v>101.57400000000007</v>
      </c>
      <c r="L25" s="67">
        <v>-3.7149999999999999</v>
      </c>
      <c r="M25" s="67">
        <v>138.161</v>
      </c>
      <c r="N25" s="67">
        <v>519.22900000000004</v>
      </c>
      <c r="O25" s="67">
        <v>318.80099999999999</v>
      </c>
      <c r="P25" s="67">
        <v>170.95772419999918</v>
      </c>
      <c r="Q25" s="67">
        <v>1028.904</v>
      </c>
      <c r="R25" s="67">
        <v>679.529</v>
      </c>
      <c r="S25" s="67">
        <v>479.91322115000992</v>
      </c>
      <c r="T25" s="67">
        <v>42.459353330000397</v>
      </c>
      <c r="U25" s="67">
        <v>242.9763672599986</v>
      </c>
      <c r="V25" s="67">
        <v>742.64180823000095</v>
      </c>
      <c r="W25" s="67">
        <v>478.23390461000008</v>
      </c>
      <c r="X25" s="67">
        <v>207.51034404999999</v>
      </c>
      <c r="Y25" s="67">
        <v>568.59164154000007</v>
      </c>
      <c r="Z25" s="67">
        <v>585.57328401999973</v>
      </c>
      <c r="AA25" s="67">
        <v>95.647448850001709</v>
      </c>
      <c r="AB25" s="67">
        <v>42.577004509652859</v>
      </c>
      <c r="AC25" s="67">
        <v>413.76132897000195</v>
      </c>
      <c r="AD25" s="67">
        <v>222.51536310999904</v>
      </c>
      <c r="AE25" s="67">
        <v>610.19578222961616</v>
      </c>
      <c r="AF25" s="67">
        <v>369.07132046000004</v>
      </c>
      <c r="AG25" s="67">
        <v>936.18686146577863</v>
      </c>
      <c r="AH25" s="67">
        <v>1794.5735770642209</v>
      </c>
      <c r="AI25" s="67">
        <v>1068.5678812134811</v>
      </c>
      <c r="AK25" s="67">
        <f>SUM(D25:G25)</f>
        <v>0</v>
      </c>
      <c r="AL25" s="67">
        <f>SUM(H25:K25)</f>
        <v>468.42</v>
      </c>
      <c r="AM25" s="67">
        <f>SUM(L25:O25)</f>
        <v>972.47600000000011</v>
      </c>
      <c r="AN25" s="67">
        <f>SUM(P25:S25)</f>
        <v>2359.3039453500091</v>
      </c>
      <c r="AO25" s="67">
        <f>SUM(T25:W25)</f>
        <v>1506.3114334300001</v>
      </c>
      <c r="AP25" s="67">
        <f>SUM(X25:AA25)</f>
        <v>1457.3227184600014</v>
      </c>
      <c r="AQ25" s="67">
        <f>SUM(AB25:AE25)</f>
        <v>1289.04947881927</v>
      </c>
      <c r="AR25" s="67">
        <f>SUM(AF25:AI25)</f>
        <v>4168.3996402034809</v>
      </c>
    </row>
    <row r="26" spans="2:45" ht="16.5">
      <c r="B26" s="57" t="s">
        <v>170</v>
      </c>
      <c r="C26" s="57" t="s">
        <v>291</v>
      </c>
      <c r="D26" s="68"/>
      <c r="E26" s="68"/>
      <c r="F26" s="68"/>
      <c r="G26" s="68"/>
      <c r="H26" s="68">
        <f>H25/H20</f>
        <v>-4.7832658786272415E-2</v>
      </c>
      <c r="I26" s="68">
        <f t="shared" ref="I26:AE26" si="47">I25/I20</f>
        <v>2.4689942660096279E-2</v>
      </c>
      <c r="J26" s="68">
        <f t="shared" si="47"/>
        <v>6.7813110211107072E-2</v>
      </c>
      <c r="K26" s="68">
        <f t="shared" si="47"/>
        <v>1.3617593822894068E-2</v>
      </c>
      <c r="L26" s="68">
        <f t="shared" si="47"/>
        <v>-5.4921790778579582E-4</v>
      </c>
      <c r="M26" s="68">
        <f t="shared" si="47"/>
        <v>1.9263266265602489E-2</v>
      </c>
      <c r="N26" s="68">
        <f t="shared" si="47"/>
        <v>6.1478554808942272E-2</v>
      </c>
      <c r="O26" s="68">
        <f t="shared" si="47"/>
        <v>3.3284752259698756E-2</v>
      </c>
      <c r="P26" s="68">
        <f t="shared" si="47"/>
        <v>2.0951625831531682E-2</v>
      </c>
      <c r="Q26" s="68">
        <f t="shared" si="47"/>
        <v>0.1179803593106598</v>
      </c>
      <c r="R26" s="68">
        <f t="shared" si="47"/>
        <v>5.9448391462542986E-2</v>
      </c>
      <c r="S26" s="68">
        <f t="shared" si="47"/>
        <v>3.5824849390019925E-2</v>
      </c>
      <c r="T26" s="68">
        <f t="shared" si="47"/>
        <v>3.68146896115124E-3</v>
      </c>
      <c r="U26" s="68">
        <f t="shared" si="47"/>
        <v>1.9076847307959596E-2</v>
      </c>
      <c r="V26" s="68">
        <f t="shared" si="47"/>
        <v>4.8035096648857786E-2</v>
      </c>
      <c r="W26" s="68">
        <f t="shared" si="47"/>
        <v>3.3982675956128645E-2</v>
      </c>
      <c r="X26" s="68">
        <f t="shared" si="47"/>
        <v>1.4481542796693883E-2</v>
      </c>
      <c r="Y26" s="68">
        <f t="shared" si="47"/>
        <v>4.0302463363255728E-2</v>
      </c>
      <c r="Z26" s="68">
        <f t="shared" si="47"/>
        <v>3.6057124801170057E-2</v>
      </c>
      <c r="AA26" s="68">
        <f t="shared" si="47"/>
        <v>6.7020720943309648E-3</v>
      </c>
      <c r="AB26" s="68">
        <f t="shared" si="47"/>
        <v>3.4900348165668518E-3</v>
      </c>
      <c r="AC26" s="68">
        <f t="shared" si="47"/>
        <v>2.9583511223013316E-2</v>
      </c>
      <c r="AD26" s="68">
        <v>1.5408433852438532E-2</v>
      </c>
      <c r="AE26" s="68">
        <f t="shared" si="47"/>
        <v>4.0939308406029176E-2</v>
      </c>
      <c r="AF26" s="68">
        <f t="shared" ref="AF26:AI26" si="48">AF25/AF20</f>
        <v>2.5928256493314875E-2</v>
      </c>
      <c r="AG26" s="68">
        <f t="shared" si="48"/>
        <v>6.0217416190567745E-2</v>
      </c>
      <c r="AH26" s="68">
        <f t="shared" si="48"/>
        <v>9.9378523144241906E-2</v>
      </c>
      <c r="AI26" s="68">
        <f t="shared" si="48"/>
        <v>5.2550710688452046E-2</v>
      </c>
      <c r="AK26" s="68">
        <f>AK25/AK20</f>
        <v>0</v>
      </c>
      <c r="AL26" s="68">
        <f t="shared" ref="AL26" si="49">AL25/AL20</f>
        <v>1.6984722597005494E-2</v>
      </c>
      <c r="AM26" s="68">
        <f t="shared" ref="AM26" si="50">AM25/AM20</f>
        <v>3.0427816328431286E-2</v>
      </c>
      <c r="AN26" s="68">
        <f t="shared" ref="AN26" si="51">AN25/AN20</f>
        <v>5.6568148737501427E-2</v>
      </c>
      <c r="AO26" s="68">
        <f t="shared" ref="AO26" si="52">AO25/AO20</f>
        <v>2.7996661175451503E-2</v>
      </c>
      <c r="AP26" s="68">
        <f>AP25/AP20</f>
        <v>2.4721801201113173E-2</v>
      </c>
      <c r="AQ26" s="68">
        <f>AQ25/AQ20</f>
        <v>2.3212801527688391E-2</v>
      </c>
      <c r="AR26" s="68">
        <f>AR25/AR20</f>
        <v>6.1144344362116229E-2</v>
      </c>
    </row>
    <row r="27" spans="2:45" ht="16.5">
      <c r="B27" s="4"/>
      <c r="C27" s="4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K27" s="51"/>
      <c r="AL27" s="51"/>
      <c r="AM27" s="51"/>
      <c r="AN27" s="51"/>
      <c r="AO27" s="51"/>
      <c r="AP27" s="51"/>
      <c r="AQ27" s="51"/>
      <c r="AR27" s="51"/>
    </row>
    <row r="28" spans="2:45" ht="16.5">
      <c r="B28" s="57" t="s">
        <v>1</v>
      </c>
      <c r="C28" s="57" t="s">
        <v>1</v>
      </c>
      <c r="D28" s="62">
        <v>59.4</v>
      </c>
      <c r="E28" s="62">
        <v>261</v>
      </c>
      <c r="F28" s="62">
        <v>72.5</v>
      </c>
      <c r="G28" s="62">
        <v>-301.87599999999998</v>
      </c>
      <c r="H28" s="62">
        <v>-100.93300000000001</v>
      </c>
      <c r="I28" s="62">
        <v>350.03699999999998</v>
      </c>
      <c r="J28" s="62">
        <v>706.54700000000003</v>
      </c>
      <c r="K28" s="62">
        <v>293.11599999999999</v>
      </c>
      <c r="L28" s="62">
        <v>194.977</v>
      </c>
      <c r="M28" s="62">
        <v>335.78800000000001</v>
      </c>
      <c r="N28" s="62">
        <v>719.00099999999998</v>
      </c>
      <c r="O28" s="62">
        <v>487.04657673551202</v>
      </c>
      <c r="P28" s="62">
        <v>338.08600000000001</v>
      </c>
      <c r="Q28" s="62">
        <v>1084.0640000000001</v>
      </c>
      <c r="R28" s="62">
        <v>856.89499999999998</v>
      </c>
      <c r="S28" s="62">
        <f>3040.159-P28-Q28-R28</f>
        <v>761.11400000000026</v>
      </c>
      <c r="T28" s="62">
        <v>236.33168470999999</v>
      </c>
      <c r="U28" s="62">
        <v>439.41060779999901</v>
      </c>
      <c r="V28" s="62">
        <v>946.1</v>
      </c>
      <c r="W28" s="62">
        <v>696.69520577000026</v>
      </c>
      <c r="X28" s="62">
        <v>438.20909555999998</v>
      </c>
      <c r="Y28" s="62">
        <v>803.22407626000017</v>
      </c>
      <c r="Z28" s="62">
        <v>825.67239614999983</v>
      </c>
      <c r="AA28" s="62">
        <v>339.91118108000205</v>
      </c>
      <c r="AB28" s="62">
        <v>296.5730828396529</v>
      </c>
      <c r="AC28" s="62">
        <v>675.65515937000202</v>
      </c>
      <c r="AD28" s="62">
        <v>484.38584021999901</v>
      </c>
      <c r="AE28" s="62">
        <v>874.03902342961624</v>
      </c>
      <c r="AF28" s="62">
        <v>643.31865471000003</v>
      </c>
      <c r="AG28" s="62">
        <v>1180.6678403857786</v>
      </c>
      <c r="AH28" s="62">
        <v>2094.3830952242206</v>
      </c>
      <c r="AI28" s="62">
        <v>1350.3645776434814</v>
      </c>
      <c r="AK28" s="62">
        <f>SUM(D28:G28)</f>
        <v>91.024000000000001</v>
      </c>
      <c r="AL28" s="62">
        <f>SUM(H28:K28)</f>
        <v>1248.7670000000001</v>
      </c>
      <c r="AM28" s="62">
        <f>SUM(L28:O28)</f>
        <v>1736.812576735512</v>
      </c>
      <c r="AN28" s="62">
        <f>SUM(P28:S28)</f>
        <v>3040.1590000000006</v>
      </c>
      <c r="AO28" s="62">
        <f>SUM(T28:W28)</f>
        <v>2318.5374982799995</v>
      </c>
      <c r="AP28" s="62">
        <f>SUM(X28:AA28)</f>
        <v>2407.0167490500016</v>
      </c>
      <c r="AQ28" s="62">
        <f>SUM(AB28:AE28)</f>
        <v>2330.65310585927</v>
      </c>
      <c r="AR28" s="62">
        <f>SUM(AF28:AI28)</f>
        <v>5268.734167963481</v>
      </c>
    </row>
    <row r="29" spans="2:45" ht="16.5">
      <c r="B29" s="57" t="s">
        <v>97</v>
      </c>
      <c r="C29" s="57" t="s">
        <v>237</v>
      </c>
      <c r="D29" s="68">
        <f t="shared" ref="D29:AE29" si="53">D28/D20</f>
        <v>9.5630614676240466E-3</v>
      </c>
      <c r="E29" s="68">
        <f t="shared" si="53"/>
        <v>4.2194092827004218E-2</v>
      </c>
      <c r="F29" s="68">
        <f t="shared" si="53"/>
        <v>1.4129248518864983E-2</v>
      </c>
      <c r="G29" s="68">
        <f t="shared" si="53"/>
        <v>-4.8362838238356909E-2</v>
      </c>
      <c r="H29" s="68">
        <f t="shared" si="53"/>
        <v>-1.6020406721799694E-2</v>
      </c>
      <c r="I29" s="68">
        <f t="shared" si="53"/>
        <v>5.6125633731724418E-2</v>
      </c>
      <c r="J29" s="68">
        <f t="shared" si="53"/>
        <v>9.317600098853622E-2</v>
      </c>
      <c r="K29" s="68">
        <f t="shared" si="53"/>
        <v>3.9296814450463846E-2</v>
      </c>
      <c r="L29" s="68">
        <f t="shared" si="53"/>
        <v>2.8824995964024529E-2</v>
      </c>
      <c r="M29" s="68">
        <f t="shared" si="53"/>
        <v>4.6817652252040223E-2</v>
      </c>
      <c r="N29" s="68">
        <f t="shared" si="53"/>
        <v>8.5132268009268167E-2</v>
      </c>
      <c r="O29" s="68">
        <f t="shared" si="53"/>
        <v>5.0850607888858181E-2</v>
      </c>
      <c r="P29" s="68">
        <f t="shared" si="53"/>
        <v>4.1433935810893621E-2</v>
      </c>
      <c r="Q29" s="68">
        <f t="shared" si="53"/>
        <v>0.12430533872523686</v>
      </c>
      <c r="R29" s="68">
        <f t="shared" si="53"/>
        <v>7.4965202960132343E-2</v>
      </c>
      <c r="S29" s="68">
        <f t="shared" si="53"/>
        <v>5.6816093445595357E-2</v>
      </c>
      <c r="T29" s="68">
        <f t="shared" si="53"/>
        <v>2.0491309771825908E-2</v>
      </c>
      <c r="U29" s="68">
        <f t="shared" si="53"/>
        <v>3.4499524233681841E-2</v>
      </c>
      <c r="V29" s="68">
        <f t="shared" si="53"/>
        <v>6.1195053168093969E-2</v>
      </c>
      <c r="W29" s="68">
        <f t="shared" si="53"/>
        <v>4.9506250371724944E-2</v>
      </c>
      <c r="X29" s="68">
        <f t="shared" si="53"/>
        <v>3.0581337042762516E-2</v>
      </c>
      <c r="Y29" s="68">
        <f t="shared" si="53"/>
        <v>5.6933494165119967E-2</v>
      </c>
      <c r="Z29" s="68">
        <f t="shared" si="53"/>
        <v>5.0841412074811888E-2</v>
      </c>
      <c r="AA29" s="68">
        <f t="shared" si="53"/>
        <v>2.381777317281077E-2</v>
      </c>
      <c r="AB29" s="68">
        <f t="shared" si="53"/>
        <v>2.4310079975971347E-2</v>
      </c>
      <c r="AC29" s="68">
        <f t="shared" si="53"/>
        <v>4.8308651849768368E-2</v>
      </c>
      <c r="AD29" s="68">
        <v>3.3542075808932433E-2</v>
      </c>
      <c r="AE29" s="68">
        <f t="shared" si="53"/>
        <v>5.8641102054724913E-2</v>
      </c>
      <c r="AF29" s="68">
        <f t="shared" ref="AF29:AH29" si="54">AF28/AF20</f>
        <v>4.5194871997817403E-2</v>
      </c>
      <c r="AG29" s="68">
        <f t="shared" si="54"/>
        <v>7.5942922992973561E-2</v>
      </c>
      <c r="AH29" s="68">
        <f t="shared" si="54"/>
        <v>0.11598114536052861</v>
      </c>
      <c r="AI29" s="68">
        <f>AI28/AI20</f>
        <v>6.6409087799916056E-2</v>
      </c>
      <c r="AK29" s="68">
        <f>AK28/AK20</f>
        <v>3.8293325255992802E-3</v>
      </c>
      <c r="AL29" s="68">
        <f t="shared" ref="AL29" si="55">AL28/AL20</f>
        <v>4.5279793952638141E-2</v>
      </c>
      <c r="AM29" s="68">
        <f t="shared" ref="AM29" si="56">AM28/AM20</f>
        <v>5.4343155082302926E-2</v>
      </c>
      <c r="AN29" s="68">
        <f t="shared" ref="AN29" si="57">AN28/AN20</f>
        <v>7.2892755864120126E-2</v>
      </c>
      <c r="AO29" s="68">
        <f t="shared" ref="AO29" si="58">AO28/AO20</f>
        <v>4.3092887248499141E-2</v>
      </c>
      <c r="AP29" s="68">
        <f>AP28/AP20</f>
        <v>4.0832266459583842E-2</v>
      </c>
      <c r="AQ29" s="68">
        <f>AQ28/AQ20</f>
        <v>4.1969675225932063E-2</v>
      </c>
      <c r="AR29" s="68">
        <f>AR28/AR20</f>
        <v>7.7284647376728272E-2</v>
      </c>
    </row>
    <row r="31" spans="2:45" ht="16.5">
      <c r="B31" s="6" t="s">
        <v>190</v>
      </c>
      <c r="C31" s="6" t="s">
        <v>190</v>
      </c>
      <c r="D31" s="44" t="s">
        <v>20</v>
      </c>
      <c r="E31" s="44" t="s">
        <v>21</v>
      </c>
      <c r="F31" s="44" t="s">
        <v>22</v>
      </c>
      <c r="G31" s="44" t="s">
        <v>23</v>
      </c>
      <c r="H31" s="44" t="s">
        <v>24</v>
      </c>
      <c r="I31" s="44" t="s">
        <v>25</v>
      </c>
      <c r="J31" s="44" t="s">
        <v>26</v>
      </c>
      <c r="K31" s="44" t="s">
        <v>27</v>
      </c>
      <c r="L31" s="44" t="s">
        <v>28</v>
      </c>
      <c r="M31" s="44" t="s">
        <v>29</v>
      </c>
      <c r="N31" s="44" t="s">
        <v>30</v>
      </c>
      <c r="O31" s="44" t="s">
        <v>31</v>
      </c>
      <c r="P31" s="44" t="s">
        <v>32</v>
      </c>
      <c r="Q31" s="44" t="s">
        <v>33</v>
      </c>
      <c r="R31" s="44" t="s">
        <v>34</v>
      </c>
      <c r="S31" s="44" t="s">
        <v>35</v>
      </c>
      <c r="T31" s="44" t="s">
        <v>36</v>
      </c>
      <c r="U31" s="44" t="s">
        <v>183</v>
      </c>
      <c r="V31" s="44" t="s">
        <v>187</v>
      </c>
      <c r="W31" s="44" t="s">
        <v>188</v>
      </c>
      <c r="X31" s="45" t="s">
        <v>189</v>
      </c>
      <c r="Y31" s="17" t="s">
        <v>302</v>
      </c>
      <c r="Z31" s="17" t="s">
        <v>354</v>
      </c>
      <c r="AA31" s="17" t="s">
        <v>355</v>
      </c>
      <c r="AB31" s="17" t="s">
        <v>393</v>
      </c>
      <c r="AC31" s="17" t="s">
        <v>398</v>
      </c>
      <c r="AD31" s="17" t="s">
        <v>428</v>
      </c>
      <c r="AE31" s="17" t="str">
        <f>AE5</f>
        <v>4Q23</v>
      </c>
      <c r="AF31" s="17" t="str">
        <f>AF5</f>
        <v>1Q24</v>
      </c>
      <c r="AG31" s="17" t="str">
        <f>AG5</f>
        <v>2Q24</v>
      </c>
      <c r="AH31" s="17" t="s">
        <v>442</v>
      </c>
      <c r="AI31" s="17" t="str">
        <f>AI18</f>
        <v>4Q24</v>
      </c>
      <c r="AK31" s="44">
        <v>2017</v>
      </c>
      <c r="AL31" s="44">
        <v>2018</v>
      </c>
      <c r="AM31" s="44">
        <v>2019</v>
      </c>
      <c r="AN31" s="44">
        <v>2020</v>
      </c>
      <c r="AO31" s="44">
        <v>2021</v>
      </c>
      <c r="AP31" s="44">
        <v>2022</v>
      </c>
      <c r="AQ31" s="44">
        <f>AQ5</f>
        <v>2023</v>
      </c>
      <c r="AR31" s="44">
        <f>AR5</f>
        <v>2024</v>
      </c>
    </row>
    <row r="32" spans="2:45" ht="16.5">
      <c r="B32" s="12"/>
      <c r="C32" s="12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K32" s="49"/>
      <c r="AL32" s="49"/>
      <c r="AM32" s="49"/>
      <c r="AN32" s="49"/>
      <c r="AO32" s="49"/>
      <c r="AP32" s="49"/>
      <c r="AQ32" s="49"/>
      <c r="AR32" s="49"/>
    </row>
    <row r="33" spans="1:46" s="39" customFormat="1" ht="16.5">
      <c r="A33"/>
      <c r="B33" s="57" t="s">
        <v>78</v>
      </c>
      <c r="C33" s="57" t="s">
        <v>239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>
        <v>23822.427235267685</v>
      </c>
      <c r="U33" s="67">
        <f>28476278.8770098/10^3</f>
        <v>28476.278877009801</v>
      </c>
      <c r="V33" s="67">
        <f>30641938.4569935/10^3</f>
        <v>30641.938456993503</v>
      </c>
      <c r="W33" s="67">
        <v>32676.605051330342</v>
      </c>
      <c r="X33" s="67">
        <v>28990.026908194999</v>
      </c>
      <c r="Y33" s="67">
        <v>27170.129890627202</v>
      </c>
      <c r="Z33" s="67">
        <v>29155.844379588001</v>
      </c>
      <c r="AA33" s="67">
        <v>28663.2412967173</v>
      </c>
      <c r="AB33" s="67">
        <v>27356.8397181279</v>
      </c>
      <c r="AC33" s="67">
        <v>28770.235670830298</v>
      </c>
      <c r="AD33" s="67">
        <v>29054.245776819698</v>
      </c>
      <c r="AE33" s="67">
        <v>31072.809176216997</v>
      </c>
      <c r="AF33" s="67">
        <v>27643.034331656701</v>
      </c>
      <c r="AG33" s="67">
        <v>31262.66</v>
      </c>
      <c r="AH33" s="67">
        <v>35006.173195000003</v>
      </c>
      <c r="AI33" s="67">
        <v>37391.573306999999</v>
      </c>
      <c r="AJ33" s="48"/>
      <c r="AK33" s="67"/>
      <c r="AL33" s="67"/>
      <c r="AM33" s="67"/>
      <c r="AN33" s="67"/>
      <c r="AO33" s="67">
        <f>SUM(T33:W33)</f>
        <v>115617.24962060133</v>
      </c>
      <c r="AP33" s="67">
        <f>SUM(X33:AA33)</f>
        <v>113979.2424751275</v>
      </c>
      <c r="AQ33" s="67">
        <f>SUM(AB33:AE33)</f>
        <v>116254.13034199488</v>
      </c>
      <c r="AR33" s="67">
        <f>SUM(AF33:AI33)</f>
        <v>131303.4408336567</v>
      </c>
      <c r="AS33" s="48"/>
      <c r="AT33" s="48"/>
    </row>
    <row r="34" spans="1:46" s="43" customFormat="1" ht="16.5">
      <c r="A34"/>
      <c r="B34" s="9" t="s">
        <v>168</v>
      </c>
      <c r="C34" s="9" t="s">
        <v>318</v>
      </c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>
        <v>-20081.459638079999</v>
      </c>
      <c r="U34" s="50">
        <f>-20471653.87826/10^3</f>
        <v>-20471.65387826</v>
      </c>
      <c r="V34" s="50">
        <f>-21418542.15138/10^3</f>
        <v>-21418.542151379999</v>
      </c>
      <c r="W34" s="50">
        <v>-24084.557027580002</v>
      </c>
      <c r="X34" s="50">
        <v>-23313.079119000002</v>
      </c>
      <c r="Y34" s="50">
        <v>-22781.635164480002</v>
      </c>
      <c r="Z34" s="50">
        <v>-25073.4180514</v>
      </c>
      <c r="AA34" s="50">
        <v>-26120.244524219997</v>
      </c>
      <c r="AB34" s="50">
        <v>-25909.678251899997</v>
      </c>
      <c r="AC34" s="50">
        <v>-27138.012064919996</v>
      </c>
      <c r="AD34" s="50">
        <v>-27281.258758439999</v>
      </c>
      <c r="AE34" s="50">
        <v>-30316.759162800001</v>
      </c>
      <c r="AF34" s="50">
        <v>-26671.265923169998</v>
      </c>
      <c r="AG34" s="50">
        <v>-30092.926667</v>
      </c>
      <c r="AH34" s="50">
        <v>-33113.857690999997</v>
      </c>
      <c r="AI34" s="50">
        <v>-35530.235740999997</v>
      </c>
      <c r="AJ34" s="53"/>
      <c r="AK34" s="50"/>
      <c r="AL34" s="50"/>
      <c r="AM34" s="50"/>
      <c r="AN34" s="50"/>
      <c r="AO34" s="50">
        <f>SUM(T34:W34)</f>
        <v>-86056.212695299997</v>
      </c>
      <c r="AP34" s="50">
        <f>SUM(X34:AA34)</f>
        <v>-97288.376859100012</v>
      </c>
      <c r="AQ34" s="50">
        <f>SUM(AB34:AE34)</f>
        <v>-110645.70823806</v>
      </c>
      <c r="AR34" s="50">
        <f>SUM(AF34:AI34)</f>
        <v>-125408.28602217</v>
      </c>
      <c r="AS34" s="53"/>
      <c r="AT34" s="53"/>
    </row>
    <row r="35" spans="1:46" s="39" customFormat="1" ht="16.5">
      <c r="A35"/>
      <c r="B35" s="57" t="s">
        <v>80</v>
      </c>
      <c r="C35" s="57" t="s">
        <v>319</v>
      </c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>
        <f>SUM(T33:T34)</f>
        <v>3740.9675971876859</v>
      </c>
      <c r="U35" s="62">
        <f>SUM(U33:U34)</f>
        <v>8004.6249987498013</v>
      </c>
      <c r="V35" s="62">
        <f>SUM(V33:V34)</f>
        <v>9223.3963056135035</v>
      </c>
      <c r="W35" s="62">
        <f t="shared" ref="W35:AE35" si="59">SUM(W33:W34)</f>
        <v>8592.0480237503398</v>
      </c>
      <c r="X35" s="56">
        <f t="shared" si="59"/>
        <v>5676.9477891949973</v>
      </c>
      <c r="Y35" s="56">
        <f t="shared" si="59"/>
        <v>4388.4947261472007</v>
      </c>
      <c r="Z35" s="56">
        <f t="shared" si="59"/>
        <v>4082.4263281880012</v>
      </c>
      <c r="AA35" s="56">
        <f t="shared" si="59"/>
        <v>2542.996772497303</v>
      </c>
      <c r="AB35" s="56">
        <f t="shared" si="59"/>
        <v>1447.1614662279026</v>
      </c>
      <c r="AC35" s="56">
        <f t="shared" si="59"/>
        <v>1632.2236059103016</v>
      </c>
      <c r="AD35" s="56">
        <f t="shared" si="59"/>
        <v>1772.9870183796993</v>
      </c>
      <c r="AE35" s="56">
        <f t="shared" si="59"/>
        <v>756.05001341699608</v>
      </c>
      <c r="AF35" s="56">
        <f t="shared" ref="AF35" si="60">SUM(AF33:AF34)</f>
        <v>971.76840848670327</v>
      </c>
      <c r="AG35" s="56">
        <f t="shared" ref="AG35:AI35" si="61">SUM(AG33:AG34)</f>
        <v>1169.7333330000001</v>
      </c>
      <c r="AH35" s="56">
        <f t="shared" si="61"/>
        <v>1892.3155040000056</v>
      </c>
      <c r="AI35" s="56">
        <f t="shared" si="61"/>
        <v>1861.337566000002</v>
      </c>
      <c r="AJ35" s="48"/>
      <c r="AK35" s="62"/>
      <c r="AL35" s="62"/>
      <c r="AM35" s="62"/>
      <c r="AN35" s="62"/>
      <c r="AO35" s="62">
        <f t="shared" ref="AO35" si="62">SUM(AO33:AO34)</f>
        <v>29561.036925301334</v>
      </c>
      <c r="AP35" s="62">
        <f>SUM(AP33:AP34)</f>
        <v>16690.865616027484</v>
      </c>
      <c r="AQ35" s="62">
        <f>SUM(AB35:AE35)</f>
        <v>5608.4221039348995</v>
      </c>
      <c r="AR35" s="62">
        <f>SUM(AF35:AI35)</f>
        <v>5895.154811486711</v>
      </c>
      <c r="AS35" s="48"/>
      <c r="AT35" s="48"/>
    </row>
    <row r="36" spans="1:46" s="39" customFormat="1" ht="16.5">
      <c r="A36"/>
      <c r="B36" s="57" t="s">
        <v>169</v>
      </c>
      <c r="C36" s="57" t="s">
        <v>290</v>
      </c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>
        <f t="shared" ref="T36:AE36" si="63">T35/T33</f>
        <v>0.15703553463474981</v>
      </c>
      <c r="U36" s="68">
        <f t="shared" si="63"/>
        <v>0.28109799855950629</v>
      </c>
      <c r="V36" s="68">
        <f t="shared" si="63"/>
        <v>0.3010056403108668</v>
      </c>
      <c r="W36" s="68">
        <f t="shared" si="63"/>
        <v>0.26294188182197764</v>
      </c>
      <c r="X36" s="68">
        <f t="shared" si="63"/>
        <v>0.19582416419179724</v>
      </c>
      <c r="Y36" s="68">
        <f t="shared" si="63"/>
        <v>0.16151909261431563</v>
      </c>
      <c r="Z36" s="68">
        <f t="shared" si="63"/>
        <v>0.14002085739784326</v>
      </c>
      <c r="AA36" s="68">
        <f t="shared" si="63"/>
        <v>8.8719790834979412E-2</v>
      </c>
      <c r="AB36" s="68">
        <f t="shared" si="63"/>
        <v>5.2899438719485818E-2</v>
      </c>
      <c r="AC36" s="68">
        <f t="shared" si="63"/>
        <v>5.6733063454366767E-2</v>
      </c>
      <c r="AD36" s="68">
        <v>6.1023336554626335E-2</v>
      </c>
      <c r="AE36" s="68">
        <f t="shared" si="63"/>
        <v>2.4331562979367623E-2</v>
      </c>
      <c r="AF36" s="68">
        <f t="shared" ref="AF36:AH36" si="64">AF35/AF33</f>
        <v>3.5154187374207238E-2</v>
      </c>
      <c r="AG36" s="68">
        <f t="shared" si="64"/>
        <v>3.7416308561075744E-2</v>
      </c>
      <c r="AH36" s="68">
        <f t="shared" si="64"/>
        <v>5.4056622912163635E-2</v>
      </c>
      <c r="AI36" s="68">
        <f t="shared" ref="AI36" si="65">AI35/AI33</f>
        <v>4.9779600091113173E-2</v>
      </c>
      <c r="AJ36" s="48"/>
      <c r="AK36" s="68"/>
      <c r="AL36" s="68"/>
      <c r="AM36" s="68"/>
      <c r="AN36" s="68"/>
      <c r="AO36" s="68">
        <f t="shared" ref="AO36" si="66">AO35/AO33</f>
        <v>0.25568016037663971</v>
      </c>
      <c r="AP36" s="68">
        <f>AP35/AP33</f>
        <v>0.14643776580345108</v>
      </c>
      <c r="AQ36" s="68">
        <f>AQ35/AQ33</f>
        <v>4.8242777159281283E-2</v>
      </c>
      <c r="AR36" s="68">
        <f>AR35/AR33</f>
        <v>4.4897184522034402E-2</v>
      </c>
      <c r="AS36" s="48"/>
      <c r="AT36" s="48"/>
    </row>
    <row r="37" spans="1:46" s="39" customFormat="1" ht="16.5">
      <c r="A37"/>
      <c r="B37" s="2"/>
      <c r="C37" s="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48"/>
      <c r="AK37" s="51"/>
      <c r="AL37" s="51"/>
      <c r="AM37" s="51"/>
      <c r="AN37" s="51"/>
      <c r="AO37" s="51"/>
      <c r="AP37" s="51"/>
      <c r="AQ37" s="51"/>
      <c r="AR37" s="51"/>
      <c r="AS37" s="48"/>
      <c r="AT37" s="48"/>
    </row>
    <row r="38" spans="1:46" s="39" customFormat="1" ht="16.5">
      <c r="A38"/>
      <c r="B38" s="57" t="s">
        <v>0</v>
      </c>
      <c r="C38" s="57" t="s">
        <v>0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>
        <v>2396.3146949904003</v>
      </c>
      <c r="U38" s="67">
        <v>6483.9364923836001</v>
      </c>
      <c r="V38" s="67">
        <v>7493.1397023344998</v>
      </c>
      <c r="W38" s="67">
        <v>6813.2251954703997</v>
      </c>
      <c r="X38" s="67">
        <v>3815.2806312279499</v>
      </c>
      <c r="Y38" s="67">
        <v>2801.4718466852496</v>
      </c>
      <c r="Z38" s="67">
        <v>2247.0746443100002</v>
      </c>
      <c r="AA38" s="67">
        <v>703.74029162219904</v>
      </c>
      <c r="AB38" s="67">
        <v>-164.66915284999999</v>
      </c>
      <c r="AC38" s="67">
        <v>158.44907297879999</v>
      </c>
      <c r="AD38" s="67">
        <v>219.57657789960001</v>
      </c>
      <c r="AE38" s="67">
        <v>-793.73508728800005</v>
      </c>
      <c r="AF38" s="67">
        <v>-312.26973523084831</v>
      </c>
      <c r="AG38" s="67">
        <v>-133.31100778819999</v>
      </c>
      <c r="AH38" s="67">
        <v>348.32380064220001</v>
      </c>
      <c r="AI38" s="67">
        <v>242.56100652550001</v>
      </c>
      <c r="AJ38" s="48"/>
      <c r="AK38" s="67"/>
      <c r="AL38" s="67"/>
      <c r="AM38" s="67"/>
      <c r="AN38" s="67"/>
      <c r="AO38" s="67">
        <f>SUM(T38:W38)</f>
        <v>23186.616085178899</v>
      </c>
      <c r="AP38" s="67">
        <f>SUM(X38:AA38)</f>
        <v>9567.5674138453978</v>
      </c>
      <c r="AQ38" s="67">
        <f>SUM(AB38:AE38)</f>
        <v>-580.37858925960006</v>
      </c>
      <c r="AR38" s="67">
        <f>SUM(AF38:AI38)</f>
        <v>145.30406414865169</v>
      </c>
      <c r="AS38" s="48"/>
      <c r="AT38" s="48"/>
    </row>
    <row r="39" spans="1:46" s="39" customFormat="1" ht="16.5">
      <c r="A39"/>
      <c r="B39" s="57" t="s">
        <v>170</v>
      </c>
      <c r="C39" s="57" t="s">
        <v>291</v>
      </c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>
        <f t="shared" ref="T39:AE39" si="67">T38/T33</f>
        <v>0.10059070267377285</v>
      </c>
      <c r="U39" s="68">
        <f t="shared" si="67"/>
        <v>0.2276960596006235</v>
      </c>
      <c r="V39" s="68">
        <f t="shared" si="67"/>
        <v>0.24453869695127978</v>
      </c>
      <c r="W39" s="68">
        <f t="shared" si="67"/>
        <v>0.208504683542485</v>
      </c>
      <c r="X39" s="68">
        <f t="shared" si="67"/>
        <v>0.13160666057020573</v>
      </c>
      <c r="Y39" s="68">
        <f t="shared" si="67"/>
        <v>0.10310851872856393</v>
      </c>
      <c r="Z39" s="68">
        <f t="shared" si="67"/>
        <v>7.7071156473971877E-2</v>
      </c>
      <c r="AA39" s="68">
        <f t="shared" si="67"/>
        <v>2.4552013651812501E-2</v>
      </c>
      <c r="AB39" s="68">
        <f t="shared" si="67"/>
        <v>-6.0193046618934806E-3</v>
      </c>
      <c r="AC39" s="68">
        <f t="shared" si="67"/>
        <v>5.5073957263217371E-3</v>
      </c>
      <c r="AD39" s="68">
        <v>7.5574695549242045E-3</v>
      </c>
      <c r="AE39" s="68">
        <f t="shared" si="67"/>
        <v>-2.554436204292471E-2</v>
      </c>
      <c r="AF39" s="68">
        <f t="shared" ref="AF39:AI39" si="68">AF38/AF33</f>
        <v>-1.1296507159246195E-2</v>
      </c>
      <c r="AG39" s="68">
        <f t="shared" si="68"/>
        <v>-4.2642247265011991E-3</v>
      </c>
      <c r="AH39" s="68">
        <f t="shared" si="68"/>
        <v>9.9503535762644219E-3</v>
      </c>
      <c r="AI39" s="68">
        <f t="shared" si="68"/>
        <v>6.4870500241852799E-3</v>
      </c>
      <c r="AJ39" s="48"/>
      <c r="AK39" s="68"/>
      <c r="AL39" s="68"/>
      <c r="AM39" s="68"/>
      <c r="AN39" s="68"/>
      <c r="AO39" s="68">
        <f t="shared" ref="AO39" si="69">AO38/AO33</f>
        <v>0.20054633855472184</v>
      </c>
      <c r="AP39" s="68">
        <f>AP38/AP33</f>
        <v>8.3941314278634799E-2</v>
      </c>
      <c r="AQ39" s="68">
        <f>AQ38/AQ33</f>
        <v>-4.9923266171468484E-3</v>
      </c>
      <c r="AR39" s="68">
        <f>AR38/AR33</f>
        <v>1.1066280001963684E-3</v>
      </c>
      <c r="AS39" s="48"/>
      <c r="AT39" s="48"/>
    </row>
    <row r="40" spans="1:46" s="39" customFormat="1" ht="16.5">
      <c r="A40"/>
      <c r="B40" s="4"/>
      <c r="C40" s="4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48"/>
      <c r="AK40" s="51"/>
      <c r="AL40" s="51"/>
      <c r="AM40" s="51"/>
      <c r="AN40" s="51"/>
      <c r="AO40" s="51"/>
      <c r="AP40" s="51"/>
      <c r="AQ40" s="51"/>
      <c r="AR40" s="51"/>
      <c r="AS40" s="48"/>
      <c r="AT40" s="48"/>
    </row>
    <row r="41" spans="1:46" s="39" customFormat="1" ht="16.5">
      <c r="A41"/>
      <c r="B41" s="57" t="s">
        <v>1</v>
      </c>
      <c r="C41" s="57" t="s">
        <v>1</v>
      </c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>
        <v>2638.8107130096</v>
      </c>
      <c r="U41" s="62">
        <f>6721577.5420076/10^3</f>
        <v>6721.5775420075997</v>
      </c>
      <c r="V41" s="62">
        <f>7779165.3840201/10^3</f>
        <v>7779.1653840201006</v>
      </c>
      <c r="W41" s="62">
        <v>7105.6660639458005</v>
      </c>
      <c r="X41" s="62">
        <v>4108.5914695474803</v>
      </c>
      <c r="Y41" s="62">
        <v>3051.08227085412</v>
      </c>
      <c r="Z41" s="62">
        <v>2525.4313702110007</v>
      </c>
      <c r="AA41" s="62">
        <v>1027.0819881440991</v>
      </c>
      <c r="AB41" s="62">
        <v>115.83981415000002</v>
      </c>
      <c r="AC41" s="62">
        <v>433.48826256119997</v>
      </c>
      <c r="AD41" s="62">
        <v>502.7259704448</v>
      </c>
      <c r="AE41" s="62">
        <v>-488.51675659600005</v>
      </c>
      <c r="AF41" s="62">
        <v>-48.597935069672126</v>
      </c>
      <c r="AG41" s="62">
        <v>151.27327444239998</v>
      </c>
      <c r="AH41" s="62">
        <v>650.73715686180003</v>
      </c>
      <c r="AI41" s="62">
        <v>647.06500757990011</v>
      </c>
      <c r="AJ41" s="48"/>
      <c r="AK41" s="62"/>
      <c r="AL41" s="62"/>
      <c r="AM41" s="62"/>
      <c r="AN41" s="62"/>
      <c r="AO41" s="62">
        <f>SUM(T41:W41)</f>
        <v>24245.2197029831</v>
      </c>
      <c r="AP41" s="62">
        <f>SUM(X41:AA41)</f>
        <v>10712.1870987567</v>
      </c>
      <c r="AQ41" s="62">
        <f>SUM(AB41:AE41)</f>
        <v>563.53729055999997</v>
      </c>
      <c r="AR41" s="62">
        <f>SUM(AF41:AI41)</f>
        <v>1400.477503814428</v>
      </c>
      <c r="AS41" s="48"/>
      <c r="AT41" s="48"/>
    </row>
    <row r="42" spans="1:46" s="39" customFormat="1" ht="16.5">
      <c r="A42"/>
      <c r="B42" s="57" t="s">
        <v>97</v>
      </c>
      <c r="C42" s="57" t="s">
        <v>237</v>
      </c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>
        <f t="shared" ref="T42:AE42" si="70">T41/T33</f>
        <v>0.11077001881248263</v>
      </c>
      <c r="U42" s="68">
        <f t="shared" si="70"/>
        <v>0.23604128794490195</v>
      </c>
      <c r="V42" s="68">
        <f t="shared" si="70"/>
        <v>0.25387314823239054</v>
      </c>
      <c r="W42" s="68">
        <f t="shared" si="70"/>
        <v>0.21745423224915197</v>
      </c>
      <c r="X42" s="68">
        <f t="shared" si="70"/>
        <v>0.14172430686451173</v>
      </c>
      <c r="Y42" s="68">
        <f t="shared" si="70"/>
        <v>0.11229546134435826</v>
      </c>
      <c r="Z42" s="68">
        <f t="shared" si="70"/>
        <v>8.6618358135395132E-2</v>
      </c>
      <c r="AA42" s="68">
        <f t="shared" si="70"/>
        <v>3.5832723086405692E-2</v>
      </c>
      <c r="AB42" s="68">
        <f t="shared" si="70"/>
        <v>4.2344004403856352E-3</v>
      </c>
      <c r="AC42" s="68">
        <f t="shared" si="70"/>
        <v>1.5067247537381388E-2</v>
      </c>
      <c r="AD42" s="68">
        <v>1.7303012244974159E-2</v>
      </c>
      <c r="AE42" s="68">
        <f t="shared" si="70"/>
        <v>-1.5721679807756447E-2</v>
      </c>
      <c r="AF42" s="68">
        <f>AF41/AF33</f>
        <v>-1.7580535655602014E-3</v>
      </c>
      <c r="AG42" s="68">
        <f t="shared" ref="AG42:AH42" si="71">AG41/AG33</f>
        <v>4.8387844937826784E-3</v>
      </c>
      <c r="AH42" s="68">
        <f t="shared" si="71"/>
        <v>1.8589211486697038E-2</v>
      </c>
      <c r="AI42" s="68">
        <f>AI41/AI33</f>
        <v>1.7305102469672342E-2</v>
      </c>
      <c r="AJ42" s="48"/>
      <c r="AK42" s="68"/>
      <c r="AL42" s="68"/>
      <c r="AM42" s="68"/>
      <c r="AN42" s="68"/>
      <c r="AO42" s="68">
        <f t="shared" ref="AO42" si="72">AO41/AO33</f>
        <v>0.20970244303980529</v>
      </c>
      <c r="AP42" s="68">
        <f>AP41/AP33</f>
        <v>9.3983666377624064E-2</v>
      </c>
      <c r="AQ42" s="68">
        <f>AQ41/AQ33</f>
        <v>4.847460377555562E-3</v>
      </c>
      <c r="AR42" s="68">
        <f>AR41/AR33</f>
        <v>1.0665961949836785E-2</v>
      </c>
      <c r="AS42" s="48"/>
      <c r="AT42" s="48"/>
    </row>
    <row r="43" spans="1:46" s="39" customFormat="1" ht="16.5">
      <c r="A43"/>
      <c r="B43" s="4"/>
      <c r="C43" s="4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</row>
    <row r="44" spans="1:46" s="39" customFormat="1" ht="16.5">
      <c r="A44"/>
      <c r="B44" s="6" t="s">
        <v>191</v>
      </c>
      <c r="C44" s="6" t="s">
        <v>191</v>
      </c>
      <c r="D44" s="44" t="s">
        <v>20</v>
      </c>
      <c r="E44" s="44" t="s">
        <v>21</v>
      </c>
      <c r="F44" s="44" t="s">
        <v>22</v>
      </c>
      <c r="G44" s="44" t="s">
        <v>23</v>
      </c>
      <c r="H44" s="44" t="s">
        <v>24</v>
      </c>
      <c r="I44" s="44" t="s">
        <v>25</v>
      </c>
      <c r="J44" s="44" t="s">
        <v>26</v>
      </c>
      <c r="K44" s="44" t="s">
        <v>27</v>
      </c>
      <c r="L44" s="44" t="s">
        <v>28</v>
      </c>
      <c r="M44" s="44" t="s">
        <v>29</v>
      </c>
      <c r="N44" s="44" t="s">
        <v>30</v>
      </c>
      <c r="O44" s="44" t="s">
        <v>31</v>
      </c>
      <c r="P44" s="44" t="s">
        <v>32</v>
      </c>
      <c r="Q44" s="44" t="s">
        <v>33</v>
      </c>
      <c r="R44" s="44" t="s">
        <v>34</v>
      </c>
      <c r="S44" s="44" t="s">
        <v>35</v>
      </c>
      <c r="T44" s="44" t="s">
        <v>36</v>
      </c>
      <c r="U44" s="44" t="s">
        <v>183</v>
      </c>
      <c r="V44" s="44" t="s">
        <v>187</v>
      </c>
      <c r="W44" s="44" t="s">
        <v>188</v>
      </c>
      <c r="X44" s="45" t="s">
        <v>189</v>
      </c>
      <c r="Y44" s="17" t="s">
        <v>302</v>
      </c>
      <c r="Z44" s="17" t="s">
        <v>354</v>
      </c>
      <c r="AA44" s="17" t="s">
        <v>355</v>
      </c>
      <c r="AB44" s="17" t="s">
        <v>393</v>
      </c>
      <c r="AC44" s="17" t="s">
        <v>398</v>
      </c>
      <c r="AD44" s="17" t="s">
        <v>428</v>
      </c>
      <c r="AE44" s="17" t="str">
        <f>AE5</f>
        <v>4Q23</v>
      </c>
      <c r="AF44" s="17" t="str">
        <f>AF5</f>
        <v>1Q24</v>
      </c>
      <c r="AG44" s="17" t="str">
        <f>AG5</f>
        <v>2Q24</v>
      </c>
      <c r="AH44" s="17" t="s">
        <v>442</v>
      </c>
      <c r="AI44" s="17" t="str">
        <f>AI31</f>
        <v>4Q24</v>
      </c>
      <c r="AJ44" s="48"/>
      <c r="AK44" s="44">
        <v>2017</v>
      </c>
      <c r="AL44" s="44">
        <v>2018</v>
      </c>
      <c r="AM44" s="44">
        <v>2019</v>
      </c>
      <c r="AN44" s="44">
        <v>2020</v>
      </c>
      <c r="AO44" s="44">
        <v>2021</v>
      </c>
      <c r="AP44" s="44">
        <v>2022</v>
      </c>
      <c r="AQ44" s="44">
        <f>AQ5</f>
        <v>2023</v>
      </c>
      <c r="AR44" s="44">
        <f>AR5</f>
        <v>2024</v>
      </c>
      <c r="AS44" s="48"/>
      <c r="AT44" s="48"/>
    </row>
    <row r="45" spans="1:46" s="39" customFormat="1" ht="16.5">
      <c r="A45"/>
      <c r="B45" s="4"/>
      <c r="C45" s="4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</row>
    <row r="46" spans="1:46" s="39" customFormat="1" ht="16.5">
      <c r="A46"/>
      <c r="B46" s="57" t="s">
        <v>78</v>
      </c>
      <c r="C46" s="57" t="s">
        <v>239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>
        <v>6172.4069947200005</v>
      </c>
      <c r="U46" s="67">
        <f>6723361.9678927/10^3</f>
        <v>6723.3619678926998</v>
      </c>
      <c r="V46" s="67">
        <f>7311398.1391251/10^3</f>
        <v>7311.3981391251</v>
      </c>
      <c r="W46" s="67">
        <v>8649.0769976376014</v>
      </c>
      <c r="X46" s="67">
        <v>7418.1424658623901</v>
      </c>
      <c r="Y46" s="67">
        <v>8239.1751629663995</v>
      </c>
      <c r="Z46" s="67">
        <v>8736.3832730635004</v>
      </c>
      <c r="AA46" s="67">
        <v>8236.4129834936502</v>
      </c>
      <c r="AB46" s="67">
        <v>7244.9487992802406</v>
      </c>
      <c r="AC46" s="67">
        <v>7471.4441541285287</v>
      </c>
      <c r="AD46" s="67">
        <v>7687.8938832760896</v>
      </c>
      <c r="AE46" s="67">
        <v>8570.030275651081</v>
      </c>
      <c r="AF46" s="67">
        <v>7163.8022740812003</v>
      </c>
      <c r="AG46" s="67">
        <v>8616.8950000000004</v>
      </c>
      <c r="AH46" s="67">
        <v>9896.2655250000007</v>
      </c>
      <c r="AI46" s="67">
        <v>10314.85787</v>
      </c>
      <c r="AJ46" s="48"/>
      <c r="AK46" s="67"/>
      <c r="AL46" s="67"/>
      <c r="AM46" s="67"/>
      <c r="AN46" s="67"/>
      <c r="AO46" s="67">
        <f>SUM(T46:W46)</f>
        <v>28856.244099375399</v>
      </c>
      <c r="AP46" s="67">
        <f>SUM(X46:AA46)</f>
        <v>32630.113885385941</v>
      </c>
      <c r="AQ46" s="67">
        <f>SUM(AB46:AE46)</f>
        <v>30974.317112335943</v>
      </c>
      <c r="AR46" s="67">
        <f>SUM(AF46:AI46)</f>
        <v>35991.8206690812</v>
      </c>
      <c r="AS46" s="48"/>
      <c r="AT46" s="48"/>
    </row>
    <row r="47" spans="1:46" s="43" customFormat="1" ht="16.5">
      <c r="A47"/>
      <c r="B47" s="9" t="s">
        <v>168</v>
      </c>
      <c r="C47" s="9" t="s">
        <v>318</v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>
        <v>-5760.84022224</v>
      </c>
      <c r="U47" s="50">
        <f>-6079756.08686/10^3</f>
        <v>-6079.7560868600003</v>
      </c>
      <c r="V47" s="50">
        <f>-6305052.73527/10^3</f>
        <v>-6305.0527352700001</v>
      </c>
      <c r="W47" s="50">
        <v>-7522.7472705000009</v>
      </c>
      <c r="X47" s="50">
        <v>-6584.7113309400011</v>
      </c>
      <c r="Y47" s="50">
        <v>-7111.480039680001</v>
      </c>
      <c r="Z47" s="50">
        <v>-7754.9954960499999</v>
      </c>
      <c r="AA47" s="50">
        <v>-7212.00038958</v>
      </c>
      <c r="AB47" s="50">
        <v>-6848.5744832</v>
      </c>
      <c r="AC47" s="50">
        <v>-6372.4245155999997</v>
      </c>
      <c r="AD47" s="50">
        <v>-6561.7725542000007</v>
      </c>
      <c r="AE47" s="50">
        <v>-7028.9824440000002</v>
      </c>
      <c r="AF47" s="50">
        <v>-6146.6398652999997</v>
      </c>
      <c r="AG47" s="50">
        <v>-6950.6615930000007</v>
      </c>
      <c r="AH47" s="50">
        <v>-8326.4322140000004</v>
      </c>
      <c r="AI47" s="50">
        <v>-8892.0533739999992</v>
      </c>
      <c r="AJ47" s="53"/>
      <c r="AK47" s="50"/>
      <c r="AL47" s="50"/>
      <c r="AM47" s="50"/>
      <c r="AN47" s="50"/>
      <c r="AO47" s="50">
        <f>SUM(T47:W47)</f>
        <v>-25668.396314870002</v>
      </c>
      <c r="AP47" s="50">
        <f>SUM(X47:AA47)</f>
        <v>-28663.187256250003</v>
      </c>
      <c r="AQ47" s="50">
        <f>SUM(AB47:AE47)</f>
        <v>-26811.753997</v>
      </c>
      <c r="AR47" s="50">
        <f>SUM(AF47:AI47)</f>
        <v>-30315.7870463</v>
      </c>
      <c r="AS47" s="53"/>
      <c r="AT47" s="53"/>
    </row>
    <row r="48" spans="1:46" s="39" customFormat="1" ht="16.5">
      <c r="A48"/>
      <c r="B48" s="57" t="s">
        <v>80</v>
      </c>
      <c r="C48" s="57" t="s">
        <v>319</v>
      </c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>
        <v>411.56677248000051</v>
      </c>
      <c r="U48" s="62">
        <f>SUM(U46:U47)</f>
        <v>643.60588103269947</v>
      </c>
      <c r="V48" s="62">
        <f>SUM(V46:V47)</f>
        <v>1006.3454038550999</v>
      </c>
      <c r="W48" s="62">
        <v>1126.3297271376005</v>
      </c>
      <c r="X48" s="56">
        <f t="shared" ref="X48:AE48" si="73">SUM(X46:X47)</f>
        <v>833.43113492238899</v>
      </c>
      <c r="Y48" s="56">
        <f t="shared" si="73"/>
        <v>1127.6951232863985</v>
      </c>
      <c r="Z48" s="56">
        <f t="shared" si="73"/>
        <v>981.38777701350045</v>
      </c>
      <c r="AA48" s="56">
        <f t="shared" si="73"/>
        <v>1024.4125939136502</v>
      </c>
      <c r="AB48" s="56">
        <f t="shared" si="73"/>
        <v>396.37431608024053</v>
      </c>
      <c r="AC48" s="56">
        <f t="shared" si="73"/>
        <v>1099.019638528529</v>
      </c>
      <c r="AD48" s="56">
        <f t="shared" si="73"/>
        <v>1126.1213290760888</v>
      </c>
      <c r="AE48" s="56">
        <f t="shared" si="73"/>
        <v>1541.0478316510807</v>
      </c>
      <c r="AF48" s="56">
        <f t="shared" ref="AF48" si="74">SUM(AF46:AF47)</f>
        <v>1017.1624087812006</v>
      </c>
      <c r="AG48" s="56">
        <f t="shared" ref="AG48:AI48" si="75">SUM(AG46:AG47)</f>
        <v>1666.2334069999997</v>
      </c>
      <c r="AH48" s="56">
        <f t="shared" si="75"/>
        <v>1569.8333110000003</v>
      </c>
      <c r="AI48" s="56">
        <f t="shared" si="75"/>
        <v>1422.8044960000007</v>
      </c>
      <c r="AJ48" s="48"/>
      <c r="AK48" s="62"/>
      <c r="AL48" s="62"/>
      <c r="AM48" s="62"/>
      <c r="AN48" s="62"/>
      <c r="AO48" s="62">
        <f t="shared" ref="AO48" si="76">SUM(AO46:AO47)</f>
        <v>3187.8477845053967</v>
      </c>
      <c r="AP48" s="62">
        <f>SUM(AP46:AP47)</f>
        <v>3966.9266291359381</v>
      </c>
      <c r="AQ48" s="62">
        <f>SUM(AB48:AE48)</f>
        <v>4162.5631153359391</v>
      </c>
      <c r="AR48" s="62">
        <f>SUM(AF48:AI48)</f>
        <v>5676.0336227812013</v>
      </c>
      <c r="AS48" s="48"/>
      <c r="AT48" s="48"/>
    </row>
    <row r="49" spans="1:46" s="39" customFormat="1" ht="16.5">
      <c r="A49"/>
      <c r="B49" s="57" t="s">
        <v>169</v>
      </c>
      <c r="C49" s="57" t="s">
        <v>290</v>
      </c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>
        <f t="shared" ref="T49:AE49" si="77">T48/T46</f>
        <v>6.6678489093811036E-2</v>
      </c>
      <c r="U49" s="68">
        <f t="shared" si="77"/>
        <v>9.5726793248114311E-2</v>
      </c>
      <c r="V49" s="68">
        <f t="shared" si="77"/>
        <v>0.13764062422888676</v>
      </c>
      <c r="W49" s="68">
        <f t="shared" si="77"/>
        <v>0.13022542491473307</v>
      </c>
      <c r="X49" s="68">
        <f t="shared" si="77"/>
        <v>0.11235038134651128</v>
      </c>
      <c r="Y49" s="68">
        <f t="shared" si="77"/>
        <v>0.13686990517633171</v>
      </c>
      <c r="Z49" s="68">
        <f t="shared" si="77"/>
        <v>0.11233341605322759</v>
      </c>
      <c r="AA49" s="68">
        <f t="shared" si="77"/>
        <v>0.12437605981713702</v>
      </c>
      <c r="AB49" s="68">
        <f t="shared" si="77"/>
        <v>5.4710437169634502E-2</v>
      </c>
      <c r="AC49" s="68">
        <f t="shared" si="77"/>
        <v>0.14709601194318489</v>
      </c>
      <c r="AD49" s="68">
        <v>0.14647982219497127</v>
      </c>
      <c r="AE49" s="68">
        <f t="shared" si="77"/>
        <v>0.17981824825397183</v>
      </c>
      <c r="AF49" s="68">
        <f t="shared" ref="AF49:AH49" si="78">AF48/AF46</f>
        <v>0.1419863879355405</v>
      </c>
      <c r="AG49" s="68">
        <f t="shared" si="78"/>
        <v>0.19336819202276453</v>
      </c>
      <c r="AH49" s="68">
        <f t="shared" si="78"/>
        <v>0.15862885924334577</v>
      </c>
      <c r="AI49" s="68">
        <f t="shared" ref="AI49" si="79">AI48/AI46</f>
        <v>0.13793738255358051</v>
      </c>
      <c r="AJ49" s="48"/>
      <c r="AK49" s="68"/>
      <c r="AL49" s="68"/>
      <c r="AM49" s="68"/>
      <c r="AN49" s="68"/>
      <c r="AO49" s="68">
        <f t="shared" ref="AO49" si="80">AO48/AO46</f>
        <v>0.11047341343270653</v>
      </c>
      <c r="AP49" s="68">
        <f>AP48/AP46</f>
        <v>0.12157256462756652</v>
      </c>
      <c r="AQ49" s="68">
        <f>AQ48/AQ46</f>
        <v>0.13438756697167478</v>
      </c>
      <c r="AR49" s="68">
        <f>AR48/AR46</f>
        <v>0.15770343142594068</v>
      </c>
      <c r="AS49" s="48"/>
      <c r="AT49" s="48"/>
    </row>
    <row r="50" spans="1:46" s="39" customFormat="1" ht="16.5">
      <c r="A50"/>
      <c r="B50" s="2"/>
      <c r="C50" s="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48"/>
      <c r="AK50" s="51"/>
      <c r="AL50" s="51"/>
      <c r="AM50" s="51"/>
      <c r="AN50" s="51"/>
      <c r="AO50" s="51"/>
      <c r="AP50" s="51"/>
      <c r="AQ50" s="51"/>
      <c r="AR50" s="51"/>
      <c r="AS50" s="48"/>
      <c r="AT50" s="48"/>
    </row>
    <row r="51" spans="1:46" s="39" customFormat="1" ht="16.5">
      <c r="A51"/>
      <c r="B51" s="57" t="s">
        <v>0</v>
      </c>
      <c r="C51" s="57" t="s">
        <v>0</v>
      </c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>
        <v>-11.449437340799999</v>
      </c>
      <c r="U51" s="67">
        <v>205.09248607590001</v>
      </c>
      <c r="V51" s="67">
        <v>541.39156061189999</v>
      </c>
      <c r="W51" s="67">
        <v>554.07057391859996</v>
      </c>
      <c r="X51" s="67">
        <v>292.40029263054601</v>
      </c>
      <c r="Y51" s="67">
        <v>558.71278371905419</v>
      </c>
      <c r="Z51" s="67">
        <v>338.25806862450008</v>
      </c>
      <c r="AA51" s="67">
        <f>411402.5233164/1000</f>
        <v>411.40252331639999</v>
      </c>
      <c r="AB51" s="67">
        <v>-185.44759485</v>
      </c>
      <c r="AC51" s="67">
        <v>550.24672604399984</v>
      </c>
      <c r="AD51" s="67">
        <v>508.8753445008</v>
      </c>
      <c r="AE51" s="67">
        <v>712.12657018799996</v>
      </c>
      <c r="AF51" s="67">
        <v>457.17924748319996</v>
      </c>
      <c r="AG51" s="67">
        <v>1009.5545113334</v>
      </c>
      <c r="AH51" s="67">
        <v>783.49980330719995</v>
      </c>
      <c r="AI51" s="67">
        <v>623.91026185279998</v>
      </c>
      <c r="AJ51" s="48"/>
      <c r="AK51" s="67"/>
      <c r="AL51" s="67"/>
      <c r="AM51" s="67"/>
      <c r="AN51" s="67"/>
      <c r="AO51" s="67">
        <f>SUM(T51:W51)</f>
        <v>1289.1051832655999</v>
      </c>
      <c r="AP51" s="67">
        <f>SUM(X51:AA51)</f>
        <v>1600.7736682905004</v>
      </c>
      <c r="AQ51" s="67">
        <f>SUM(AB51:AE51)</f>
        <v>1585.8010458827998</v>
      </c>
      <c r="AR51" s="67">
        <f>SUM(AF51:AI51)</f>
        <v>2874.1438239765998</v>
      </c>
      <c r="AS51" s="48"/>
      <c r="AT51" s="48"/>
    </row>
    <row r="52" spans="1:46" s="39" customFormat="1" ht="16.5">
      <c r="A52"/>
      <c r="B52" s="57" t="s">
        <v>170</v>
      </c>
      <c r="C52" s="57" t="s">
        <v>291</v>
      </c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>
        <f t="shared" ref="T52:AE52" si="81">T51/T46</f>
        <v>-1.8549388189395279E-3</v>
      </c>
      <c r="U52" s="68">
        <f t="shared" si="81"/>
        <v>3.0504454029890951E-2</v>
      </c>
      <c r="V52" s="68">
        <f t="shared" si="81"/>
        <v>7.4047610362617214E-2</v>
      </c>
      <c r="W52" s="68">
        <f t="shared" si="81"/>
        <v>6.4061237293868256E-2</v>
      </c>
      <c r="X52" s="68">
        <f t="shared" si="81"/>
        <v>3.9416915215115547E-2</v>
      </c>
      <c r="Y52" s="68">
        <f t="shared" si="81"/>
        <v>6.7811737542656819E-2</v>
      </c>
      <c r="Z52" s="68">
        <f t="shared" si="81"/>
        <v>3.8718318330588364E-2</v>
      </c>
      <c r="AA52" s="68">
        <f t="shared" si="81"/>
        <v>4.9949234471471926E-2</v>
      </c>
      <c r="AB52" s="68">
        <f t="shared" si="81"/>
        <v>-2.5596812343024914E-2</v>
      </c>
      <c r="AC52" s="68">
        <f t="shared" si="81"/>
        <v>7.3646635736405466E-2</v>
      </c>
      <c r="AD52" s="68">
        <v>6.6191775306340447E-2</v>
      </c>
      <c r="AE52" s="68">
        <f t="shared" si="81"/>
        <v>8.3094988848671059E-2</v>
      </c>
      <c r="AF52" s="68">
        <f t="shared" ref="AF52:AI52" si="82">AF51/AF46</f>
        <v>6.3817960070908841E-2</v>
      </c>
      <c r="AG52" s="68">
        <f t="shared" si="82"/>
        <v>0.11715989475714859</v>
      </c>
      <c r="AH52" s="68">
        <f t="shared" si="82"/>
        <v>7.9171259231870697E-2</v>
      </c>
      <c r="AI52" s="68">
        <f t="shared" si="82"/>
        <v>6.0486559263932926E-2</v>
      </c>
      <c r="AJ52" s="48"/>
      <c r="AK52" s="68"/>
      <c r="AL52" s="68"/>
      <c r="AM52" s="68"/>
      <c r="AN52" s="68"/>
      <c r="AO52" s="68">
        <f t="shared" ref="AO52" si="83">AO51/AO46</f>
        <v>4.4673353151095045E-2</v>
      </c>
      <c r="AP52" s="68">
        <f>AP51/AP46</f>
        <v>4.9058169821694655E-2</v>
      </c>
      <c r="AQ52" s="68">
        <f>AQ51/AQ46</f>
        <v>5.1197288389974963E-2</v>
      </c>
      <c r="AR52" s="68">
        <f>AR51/AR46</f>
        <v>7.9855471897414598E-2</v>
      </c>
      <c r="AS52" s="48"/>
      <c r="AT52" s="48"/>
    </row>
    <row r="53" spans="1:46" s="39" customFormat="1" ht="16.5">
      <c r="A53"/>
      <c r="B53" s="4"/>
      <c r="C53" s="4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48"/>
      <c r="AK53" s="51"/>
      <c r="AL53" s="51"/>
      <c r="AM53" s="51"/>
      <c r="AN53" s="51"/>
      <c r="AO53" s="51"/>
      <c r="AP53" s="51"/>
      <c r="AQ53" s="51"/>
      <c r="AR53" s="51"/>
      <c r="AS53" s="48"/>
      <c r="AT53" s="48"/>
    </row>
    <row r="54" spans="1:46" s="39" customFormat="1" ht="16.5">
      <c r="A54"/>
      <c r="B54" s="57" t="s">
        <v>1</v>
      </c>
      <c r="C54" s="57" t="s">
        <v>1</v>
      </c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>
        <v>89.395367841600006</v>
      </c>
      <c r="U54" s="62">
        <f>336160.4205978/10^3</f>
        <v>336.1604205978</v>
      </c>
      <c r="V54" s="62">
        <f>647730.8219304/10^3</f>
        <v>647.7308219304</v>
      </c>
      <c r="W54" s="62">
        <v>691.64054663820002</v>
      </c>
      <c r="X54" s="62">
        <v>445.19927868035796</v>
      </c>
      <c r="Y54" s="62">
        <v>712.26998783784222</v>
      </c>
      <c r="Z54" s="62">
        <v>493.35272910700007</v>
      </c>
      <c r="AA54" s="62">
        <v>631.08945254249988</v>
      </c>
      <c r="AB54" s="62">
        <v>-17.661675700000021</v>
      </c>
      <c r="AC54" s="62">
        <v>710.44363573919986</v>
      </c>
      <c r="AD54" s="62">
        <v>664.62532406360003</v>
      </c>
      <c r="AE54" s="62">
        <v>883.908164392</v>
      </c>
      <c r="AF54" s="62">
        <v>614.01019405440002</v>
      </c>
      <c r="AG54" s="62">
        <v>1177.798814944</v>
      </c>
      <c r="AH54" s="62">
        <v>966.82549266180001</v>
      </c>
      <c r="AI54" s="62">
        <v>819.03997243770004</v>
      </c>
      <c r="AJ54" s="48"/>
      <c r="AK54" s="62"/>
      <c r="AL54" s="62"/>
      <c r="AM54" s="62"/>
      <c r="AN54" s="62"/>
      <c r="AO54" s="62">
        <f>SUM(T54:W54)</f>
        <v>1764.927157008</v>
      </c>
      <c r="AP54" s="62">
        <f>SUM(X54:AA54)</f>
        <v>2281.9114481676997</v>
      </c>
      <c r="AQ54" s="62">
        <f>SUM(AB54:AE54)</f>
        <v>2241.3154484948</v>
      </c>
      <c r="AR54" s="62">
        <f>SUM(AF54:AI54)</f>
        <v>3577.6744740979002</v>
      </c>
      <c r="AS54" s="48"/>
      <c r="AT54" s="48"/>
    </row>
    <row r="55" spans="1:46" s="39" customFormat="1" ht="16.5">
      <c r="A55"/>
      <c r="B55" s="57" t="s">
        <v>97</v>
      </c>
      <c r="C55" s="57" t="s">
        <v>237</v>
      </c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>
        <f>T54/T46</f>
        <v>1.4483064373115801E-2</v>
      </c>
      <c r="U55" s="68">
        <f t="shared" ref="U55:AE55" si="84">U54/U46</f>
        <v>4.9998858042022483E-2</v>
      </c>
      <c r="V55" s="68">
        <f t="shared" si="84"/>
        <v>8.8591923132216283E-2</v>
      </c>
      <c r="W55" s="68">
        <f t="shared" si="84"/>
        <v>7.9966977612421983E-2</v>
      </c>
      <c r="X55" s="68">
        <f t="shared" si="84"/>
        <v>6.0014927015640929E-2</v>
      </c>
      <c r="Y55" s="68">
        <f t="shared" si="84"/>
        <v>8.6449186204872408E-2</v>
      </c>
      <c r="Z55" s="68">
        <f t="shared" si="84"/>
        <v>5.6471049138621526E-2</v>
      </c>
      <c r="AA55" s="68">
        <f t="shared" si="84"/>
        <v>7.6621880642367912E-2</v>
      </c>
      <c r="AB55" s="68">
        <f t="shared" si="84"/>
        <v>-2.4377916517166615E-3</v>
      </c>
      <c r="AC55" s="68">
        <f t="shared" si="84"/>
        <v>9.5087860001821317E-2</v>
      </c>
      <c r="AD55" s="68">
        <v>8.6450897235899299E-2</v>
      </c>
      <c r="AE55" s="68">
        <f t="shared" si="84"/>
        <v>0.10313944478158192</v>
      </c>
      <c r="AF55" s="68">
        <f t="shared" ref="AF55:AH55" si="85">AF54/AF46</f>
        <v>8.5710097873011218E-2</v>
      </c>
      <c r="AG55" s="68">
        <f t="shared" si="85"/>
        <v>0.13668482846129609</v>
      </c>
      <c r="AH55" s="68">
        <f t="shared" si="85"/>
        <v>9.7695993525982114E-2</v>
      </c>
      <c r="AI55" s="68">
        <f>AI54/AI46</f>
        <v>7.9403902871004864E-2</v>
      </c>
      <c r="AJ55" s="48"/>
      <c r="AK55" s="68"/>
      <c r="AL55" s="68"/>
      <c r="AM55" s="68"/>
      <c r="AN55" s="68"/>
      <c r="AO55" s="68">
        <f t="shared" ref="AO55" si="86">AO54/AO46</f>
        <v>6.1162746992641438E-2</v>
      </c>
      <c r="AP55" s="68">
        <f>AP54/AP46</f>
        <v>6.993268415130173E-2</v>
      </c>
      <c r="AQ55" s="68">
        <f>AQ54/AQ46</f>
        <v>7.2360447540009379E-2</v>
      </c>
      <c r="AR55" s="68">
        <f>AR54/AR46</f>
        <v>9.9402431096554777E-2</v>
      </c>
      <c r="AS55" s="48"/>
      <c r="AT55" s="48"/>
    </row>
    <row r="56" spans="1:46" s="39" customFormat="1" ht="16.5">
      <c r="A56"/>
      <c r="B56" s="4"/>
      <c r="C56" s="4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</row>
    <row r="57" spans="1:46" s="39" customFormat="1" ht="16.5">
      <c r="A57"/>
      <c r="B57" s="6" t="s">
        <v>5</v>
      </c>
      <c r="C57" s="6" t="s">
        <v>5</v>
      </c>
      <c r="D57" s="44" t="s">
        <v>20</v>
      </c>
      <c r="E57" s="44" t="s">
        <v>21</v>
      </c>
      <c r="F57" s="44" t="s">
        <v>22</v>
      </c>
      <c r="G57" s="44" t="s">
        <v>23</v>
      </c>
      <c r="H57" s="44" t="s">
        <v>24</v>
      </c>
      <c r="I57" s="44" t="s">
        <v>25</v>
      </c>
      <c r="J57" s="44" t="s">
        <v>26</v>
      </c>
      <c r="K57" s="44" t="s">
        <v>27</v>
      </c>
      <c r="L57" s="44" t="s">
        <v>28</v>
      </c>
      <c r="M57" s="44" t="s">
        <v>29</v>
      </c>
      <c r="N57" s="44" t="s">
        <v>30</v>
      </c>
      <c r="O57" s="44" t="s">
        <v>31</v>
      </c>
      <c r="P57" s="44" t="s">
        <v>32</v>
      </c>
      <c r="Q57" s="44" t="s">
        <v>33</v>
      </c>
      <c r="R57" s="44" t="s">
        <v>34</v>
      </c>
      <c r="S57" s="44" t="s">
        <v>35</v>
      </c>
      <c r="T57" s="44" t="s">
        <v>36</v>
      </c>
      <c r="U57" s="44" t="s">
        <v>183</v>
      </c>
      <c r="V57" s="44" t="s">
        <v>187</v>
      </c>
      <c r="W57" s="44" t="str">
        <f>W5</f>
        <v>4Q21</v>
      </c>
      <c r="X57" s="45" t="s">
        <v>189</v>
      </c>
      <c r="Y57" s="17" t="s">
        <v>302</v>
      </c>
      <c r="Z57" s="17" t="s">
        <v>354</v>
      </c>
      <c r="AA57" s="17" t="s">
        <v>355</v>
      </c>
      <c r="AB57" s="17" t="s">
        <v>393</v>
      </c>
      <c r="AC57" s="17" t="s">
        <v>398</v>
      </c>
      <c r="AD57" s="17" t="s">
        <v>428</v>
      </c>
      <c r="AE57" s="17" t="str">
        <f>AE5</f>
        <v>4Q23</v>
      </c>
      <c r="AF57" s="17" t="str">
        <f>AF5</f>
        <v>1Q24</v>
      </c>
      <c r="AG57" s="17" t="str">
        <f>AG5</f>
        <v>2Q24</v>
      </c>
      <c r="AH57" s="17" t="s">
        <v>442</v>
      </c>
      <c r="AI57" s="17" t="str">
        <f>AI44</f>
        <v>4Q24</v>
      </c>
      <c r="AJ57" s="48"/>
      <c r="AK57" s="44">
        <v>2017</v>
      </c>
      <c r="AL57" s="44">
        <v>2018</v>
      </c>
      <c r="AM57" s="44">
        <v>2019</v>
      </c>
      <c r="AN57" s="44">
        <v>2020</v>
      </c>
      <c r="AO57" s="44">
        <v>2021</v>
      </c>
      <c r="AP57" s="44">
        <v>2022</v>
      </c>
      <c r="AQ57" s="44">
        <f>AQ5</f>
        <v>2023</v>
      </c>
      <c r="AR57" s="44">
        <f>AR5</f>
        <v>2024</v>
      </c>
      <c r="AS57" s="48"/>
      <c r="AT57" s="48"/>
    </row>
    <row r="58" spans="1:46" s="39" customFormat="1" ht="16.5">
      <c r="A58"/>
      <c r="B58" s="4"/>
      <c r="C58" s="4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</row>
    <row r="59" spans="1:46" s="39" customFormat="1" ht="16.5">
      <c r="A59"/>
      <c r="B59" s="57" t="s">
        <v>78</v>
      </c>
      <c r="C59" s="57" t="s">
        <v>239</v>
      </c>
      <c r="D59" s="67">
        <v>4390.2039999999997</v>
      </c>
      <c r="E59" s="67">
        <v>4901.9780000000001</v>
      </c>
      <c r="F59" s="67">
        <v>5348.4080000000004</v>
      </c>
      <c r="G59" s="67">
        <v>5189.5240000000003</v>
      </c>
      <c r="H59" s="67">
        <v>4756.107</v>
      </c>
      <c r="I59" s="67">
        <v>5154.183</v>
      </c>
      <c r="J59" s="67">
        <v>5518.4390000000003</v>
      </c>
      <c r="K59" s="67">
        <v>5345.9440000000004</v>
      </c>
      <c r="L59" s="67">
        <v>5035.7489999999998</v>
      </c>
      <c r="M59" s="67">
        <v>6110.9960000000001</v>
      </c>
      <c r="N59" s="67">
        <v>6006.3220000000001</v>
      </c>
      <c r="O59" s="67">
        <v>6315.9814473868</v>
      </c>
      <c r="P59" s="67">
        <v>6624.8410000000003</v>
      </c>
      <c r="Q59" s="67">
        <v>8542.2489999999998</v>
      </c>
      <c r="R59" s="67">
        <v>7689.3580000000002</v>
      </c>
      <c r="S59" s="67">
        <v>9314.6189653367401</v>
      </c>
      <c r="T59" s="67">
        <v>8787.9139475164793</v>
      </c>
      <c r="U59" s="67">
        <v>10728.154</v>
      </c>
      <c r="V59" s="67">
        <v>10936.7</v>
      </c>
      <c r="W59" s="67">
        <v>10624.357286652701</v>
      </c>
      <c r="X59" s="67">
        <v>9947.3558067173199</v>
      </c>
      <c r="Y59" s="67">
        <v>10388.946251241599</v>
      </c>
      <c r="Z59" s="67">
        <v>11154.778592259499</v>
      </c>
      <c r="AA59" s="67">
        <v>10595.5393023038</v>
      </c>
      <c r="AB59" s="67">
        <v>9392.6347040152305</v>
      </c>
      <c r="AC59" s="67">
        <v>8797.9683497892493</v>
      </c>
      <c r="AD59" s="67">
        <v>9890.4972159440586</v>
      </c>
      <c r="AE59" s="67">
        <v>10413.466720560498</v>
      </c>
      <c r="AF59" s="67">
        <v>9461.917496628299</v>
      </c>
      <c r="AG59" s="67">
        <v>11278.655000000001</v>
      </c>
      <c r="AH59" s="67">
        <v>11326.437699999999</v>
      </c>
      <c r="AI59" s="67">
        <v>11690.260283</v>
      </c>
      <c r="AJ59" s="48"/>
      <c r="AK59" s="67">
        <f>SUM(D59:G59)</f>
        <v>19830.114000000001</v>
      </c>
      <c r="AL59" s="67">
        <f>SUM(H59:K59)</f>
        <v>20774.673000000003</v>
      </c>
      <c r="AM59" s="67">
        <f>SUM(L59:O59)</f>
        <v>23469.048447386798</v>
      </c>
      <c r="AN59" s="67">
        <f>SUM(P59:S59)</f>
        <v>32171.06696533674</v>
      </c>
      <c r="AO59" s="67">
        <f>SUM(T59:W59)</f>
        <v>41077.12523416918</v>
      </c>
      <c r="AP59" s="67">
        <f>SUM(X59:AA59)</f>
        <v>42086.619952522218</v>
      </c>
      <c r="AQ59" s="67">
        <f>SUM(AB59:AE59)</f>
        <v>38494.566990309038</v>
      </c>
      <c r="AR59" s="67">
        <f>SUM(AF59:AI59)</f>
        <v>43757.2704796283</v>
      </c>
      <c r="AS59" s="48"/>
      <c r="AT59" s="48"/>
    </row>
    <row r="60" spans="1:46" s="43" customFormat="1" ht="16.5">
      <c r="A60"/>
      <c r="B60" s="9" t="s">
        <v>168</v>
      </c>
      <c r="C60" s="9" t="s">
        <v>318</v>
      </c>
      <c r="D60" s="50">
        <v>-3649.2343104299998</v>
      </c>
      <c r="E60" s="50">
        <v>-4064.9872472300003</v>
      </c>
      <c r="F60" s="50">
        <v>-4399.4703892500002</v>
      </c>
      <c r="G60" s="50">
        <v>-4194.4812036399999</v>
      </c>
      <c r="H60" s="50">
        <v>-4029.7410613499997</v>
      </c>
      <c r="I60" s="50">
        <v>-4387.26317328</v>
      </c>
      <c r="J60" s="50">
        <v>-4414.3583881600007</v>
      </c>
      <c r="K60" s="50">
        <v>-4522.521041</v>
      </c>
      <c r="L60" s="50">
        <v>-4116.7380000000003</v>
      </c>
      <c r="M60" s="50">
        <v>-5408.3819999999996</v>
      </c>
      <c r="N60" s="50">
        <v>-4996.8109999999997</v>
      </c>
      <c r="O60" s="50">
        <v>-5060.5826482499997</v>
      </c>
      <c r="P60" s="50">
        <v>-5853.0519999999997</v>
      </c>
      <c r="Q60" s="50">
        <v>-6846.6809999999996</v>
      </c>
      <c r="R60" s="50">
        <v>-5955.4579999999996</v>
      </c>
      <c r="S60" s="50">
        <v>-7859.3226399599998</v>
      </c>
      <c r="T60" s="50">
        <v>-7120.8713786400003</v>
      </c>
      <c r="U60" s="50">
        <v>-9222.4237569100005</v>
      </c>
      <c r="V60" s="50">
        <v>-9214.7000000000007</v>
      </c>
      <c r="W60" s="50">
        <v>-8786.1221924400015</v>
      </c>
      <c r="X60" s="50">
        <v>-7918.6085877600008</v>
      </c>
      <c r="Y60" s="50">
        <v>-9217.5646348800019</v>
      </c>
      <c r="Z60" s="50">
        <v>-9529.3057090500006</v>
      </c>
      <c r="AA60" s="50">
        <v>-8890.7009612399979</v>
      </c>
      <c r="AB60" s="50">
        <v>-8497.3438558999987</v>
      </c>
      <c r="AC60" s="50">
        <v>-7825.15905552</v>
      </c>
      <c r="AD60" s="50">
        <v>-8371.4454906800001</v>
      </c>
      <c r="AE60" s="50">
        <v>-8890.0033772000006</v>
      </c>
      <c r="AF60" s="50">
        <v>-7334.3628626399995</v>
      </c>
      <c r="AG60" s="50">
        <v>-9460.0575439999993</v>
      </c>
      <c r="AH60" s="50">
        <v>-9401.1325560000005</v>
      </c>
      <c r="AI60" s="50">
        <v>-9452.371344000001</v>
      </c>
      <c r="AJ60" s="53"/>
      <c r="AK60" s="50">
        <f>SUM(D60:G60)</f>
        <v>-16308.173150549999</v>
      </c>
      <c r="AL60" s="50">
        <f>SUM(H60:K60)</f>
        <v>-17353.883663790002</v>
      </c>
      <c r="AM60" s="50">
        <f>SUM(L60:O60)</f>
        <v>-19582.513648249998</v>
      </c>
      <c r="AN60" s="50">
        <f>SUM(P60:S60)</f>
        <v>-26514.513639959998</v>
      </c>
      <c r="AO60" s="50">
        <f>SUM(T60:W60)</f>
        <v>-34344.117327990003</v>
      </c>
      <c r="AP60" s="50">
        <f>SUM(X60:AA60)</f>
        <v>-35556.179892929998</v>
      </c>
      <c r="AQ60" s="50">
        <f>SUM(AB60:AE60)</f>
        <v>-33583.951779299998</v>
      </c>
      <c r="AR60" s="50">
        <f>SUM(AF60:AI60)</f>
        <v>-35647.924306640001</v>
      </c>
      <c r="AS60" s="53"/>
      <c r="AT60" s="53"/>
    </row>
    <row r="61" spans="1:46" ht="16.5">
      <c r="B61" s="57" t="s">
        <v>80</v>
      </c>
      <c r="C61" s="57" t="s">
        <v>319</v>
      </c>
      <c r="D61" s="62">
        <f t="shared" ref="D61" si="87">D59+D60</f>
        <v>740.9696895699999</v>
      </c>
      <c r="E61" s="62">
        <f t="shared" ref="E61" si="88">E59+E60</f>
        <v>836.99075276999974</v>
      </c>
      <c r="F61" s="62">
        <f t="shared" ref="F61:G61" si="89">F59+F60</f>
        <v>948.9376107500002</v>
      </c>
      <c r="G61" s="62">
        <f t="shared" si="89"/>
        <v>995.04279636000047</v>
      </c>
      <c r="H61" s="62">
        <f t="shared" ref="H61" si="90">H59+H60</f>
        <v>726.36593865000032</v>
      </c>
      <c r="I61" s="62">
        <f t="shared" ref="I61" si="91">I59+I60</f>
        <v>766.91982671999995</v>
      </c>
      <c r="J61" s="62">
        <f t="shared" ref="J61" si="92">J59+J60</f>
        <v>1104.0806118399996</v>
      </c>
      <c r="K61" s="62">
        <f t="shared" ref="K61" si="93">K59+K60</f>
        <v>823.42295900000045</v>
      </c>
      <c r="L61" s="62">
        <f t="shared" ref="L61" si="94">L59+L60</f>
        <v>919.01099999999951</v>
      </c>
      <c r="M61" s="62">
        <f t="shared" ref="M61" si="95">M59+M60</f>
        <v>702.61400000000049</v>
      </c>
      <c r="N61" s="62">
        <f t="shared" ref="N61" si="96">N59+N60</f>
        <v>1009.5110000000004</v>
      </c>
      <c r="O61" s="62">
        <f t="shared" ref="O61" si="97">O59+O60</f>
        <v>1255.3987991368003</v>
      </c>
      <c r="P61" s="62">
        <f t="shared" ref="P61" si="98">P59+P60</f>
        <v>771.78900000000067</v>
      </c>
      <c r="Q61" s="62">
        <f t="shared" ref="Q61" si="99">Q59+Q60</f>
        <v>1695.5680000000002</v>
      </c>
      <c r="R61" s="62">
        <f t="shared" ref="R61" si="100">R59+R60</f>
        <v>1733.9000000000005</v>
      </c>
      <c r="S61" s="62">
        <f>S59+S60</f>
        <v>1455.2963253767402</v>
      </c>
      <c r="T61" s="62">
        <v>1667.042568876479</v>
      </c>
      <c r="U61" s="62">
        <v>1505.7302430899999</v>
      </c>
      <c r="V61" s="62">
        <v>1722</v>
      </c>
      <c r="W61" s="62">
        <v>1838.2350942126996</v>
      </c>
      <c r="X61" s="56">
        <f t="shared" ref="X61:AE61" si="101">SUM(X59:X60)</f>
        <v>2028.7472189573191</v>
      </c>
      <c r="Y61" s="56">
        <f t="shared" si="101"/>
        <v>1171.3816163615975</v>
      </c>
      <c r="Z61" s="56">
        <f t="shared" si="101"/>
        <v>1625.4728832094988</v>
      </c>
      <c r="AA61" s="56">
        <f t="shared" si="101"/>
        <v>1704.8383410638016</v>
      </c>
      <c r="AB61" s="56">
        <f t="shared" si="101"/>
        <v>895.29084811523171</v>
      </c>
      <c r="AC61" s="56">
        <f t="shared" si="101"/>
        <v>972.80929426924922</v>
      </c>
      <c r="AD61" s="56">
        <f t="shared" si="101"/>
        <v>1519.0517252640584</v>
      </c>
      <c r="AE61" s="56">
        <f t="shared" si="101"/>
        <v>1523.4633433604977</v>
      </c>
      <c r="AF61" s="56">
        <f t="shared" ref="AF61" si="102">SUM(AF59:AF60)</f>
        <v>2127.5546339882994</v>
      </c>
      <c r="AG61" s="56">
        <f t="shared" ref="AG61:AI61" si="103">SUM(AG59:AG60)</f>
        <v>1818.5974560000013</v>
      </c>
      <c r="AH61" s="56">
        <f t="shared" si="103"/>
        <v>1925.3051439999981</v>
      </c>
      <c r="AI61" s="56">
        <f t="shared" si="103"/>
        <v>2237.8889389999986</v>
      </c>
      <c r="AK61" s="62">
        <f>SUM(AK59:AK60)</f>
        <v>3521.9408494500021</v>
      </c>
      <c r="AL61" s="62">
        <f t="shared" ref="AL61" si="104">SUM(AL59:AL60)</f>
        <v>3420.7893362100003</v>
      </c>
      <c r="AM61" s="62">
        <f t="shared" ref="AM61" si="105">SUM(AM59:AM60)</f>
        <v>3886.5347991367998</v>
      </c>
      <c r="AN61" s="62">
        <f t="shared" ref="AN61" si="106">SUM(AN59:AN60)</f>
        <v>5656.5533253767426</v>
      </c>
      <c r="AO61" s="62">
        <f t="shared" ref="AO61" si="107">SUM(AO59:AO60)</f>
        <v>6733.0079061791766</v>
      </c>
      <c r="AP61" s="62">
        <f>SUM(AP59:AP60)</f>
        <v>6530.4400595922198</v>
      </c>
      <c r="AQ61" s="62">
        <f>SUM(AB61:AE61)</f>
        <v>4910.615211009037</v>
      </c>
      <c r="AR61" s="62">
        <f>SUM(AF61:AI61)</f>
        <v>8109.3461729882974</v>
      </c>
    </row>
    <row r="62" spans="1:46" ht="16.5">
      <c r="B62" s="57" t="s">
        <v>169</v>
      </c>
      <c r="C62" s="57" t="s">
        <v>290</v>
      </c>
      <c r="D62" s="68">
        <f>D61/D59</f>
        <v>0.16877796329509973</v>
      </c>
      <c r="E62" s="68">
        <f t="shared" ref="E62:AE62" si="108">E61/E59</f>
        <v>0.17074551390683509</v>
      </c>
      <c r="F62" s="68">
        <f t="shared" si="108"/>
        <v>0.17742431219719965</v>
      </c>
      <c r="G62" s="68">
        <f t="shared" si="108"/>
        <v>0.19174066761421671</v>
      </c>
      <c r="H62" s="68">
        <f t="shared" si="108"/>
        <v>0.15272279169707501</v>
      </c>
      <c r="I62" s="68">
        <f t="shared" si="108"/>
        <v>0.14879561449797182</v>
      </c>
      <c r="J62" s="68">
        <f t="shared" si="108"/>
        <v>0.20007118169467844</v>
      </c>
      <c r="K62" s="68">
        <f t="shared" si="108"/>
        <v>0.15402760653684369</v>
      </c>
      <c r="L62" s="68">
        <f t="shared" si="108"/>
        <v>0.18249738023082554</v>
      </c>
      <c r="M62" s="68">
        <f t="shared" si="108"/>
        <v>0.11497536571779796</v>
      </c>
      <c r="N62" s="68">
        <f t="shared" si="108"/>
        <v>0.16807473858377897</v>
      </c>
      <c r="O62" s="68">
        <f t="shared" si="108"/>
        <v>0.19876543488838369</v>
      </c>
      <c r="P62" s="68">
        <f t="shared" si="108"/>
        <v>0.11649924881216027</v>
      </c>
      <c r="Q62" s="68">
        <f t="shared" si="108"/>
        <v>0.19849198963879422</v>
      </c>
      <c r="R62" s="68">
        <f t="shared" si="108"/>
        <v>0.22549346772513396</v>
      </c>
      <c r="S62" s="68">
        <f t="shared" si="108"/>
        <v>0.15623788056091767</v>
      </c>
      <c r="T62" s="68">
        <f t="shared" si="108"/>
        <v>0.18969718852875156</v>
      </c>
      <c r="U62" s="68">
        <f t="shared" si="108"/>
        <v>0.14035315330950693</v>
      </c>
      <c r="V62" s="68">
        <f t="shared" si="108"/>
        <v>0.15745151645377489</v>
      </c>
      <c r="W62" s="68">
        <f t="shared" si="108"/>
        <v>0.17302082795371163</v>
      </c>
      <c r="X62" s="68">
        <f t="shared" si="108"/>
        <v>0.2039483917512363</v>
      </c>
      <c r="Y62" s="68">
        <f t="shared" si="108"/>
        <v>0.11275268810074013</v>
      </c>
      <c r="Z62" s="68">
        <f t="shared" si="108"/>
        <v>0.14571986971910347</v>
      </c>
      <c r="AA62" s="68">
        <f t="shared" si="108"/>
        <v>0.16090151642334211</v>
      </c>
      <c r="AB62" s="68">
        <f t="shared" si="108"/>
        <v>9.5318393222777673E-2</v>
      </c>
      <c r="AC62" s="68">
        <f t="shared" si="108"/>
        <v>0.11057203840617957</v>
      </c>
      <c r="AD62" s="68">
        <v>0.15358699285767538</v>
      </c>
      <c r="AE62" s="68">
        <f t="shared" si="108"/>
        <v>0.14629742277396918</v>
      </c>
      <c r="AF62" s="68">
        <f t="shared" ref="AF62:AH62" si="109">AF61/AF59</f>
        <v>0.22485449009108793</v>
      </c>
      <c r="AG62" s="68">
        <f t="shared" si="109"/>
        <v>0.16124240487895067</v>
      </c>
      <c r="AH62" s="68">
        <f t="shared" si="109"/>
        <v>0.16998328998004361</v>
      </c>
      <c r="AI62" s="68">
        <f t="shared" ref="AI62" si="110">AI61/AI59</f>
        <v>0.19143191723920308</v>
      </c>
      <c r="AK62" s="68">
        <f>AK61/AK59</f>
        <v>0.17760567838641783</v>
      </c>
      <c r="AL62" s="68">
        <f t="shared" ref="AL62" si="111">AL61/AL59</f>
        <v>0.16466152493519393</v>
      </c>
      <c r="AM62" s="68">
        <f t="shared" ref="AM62" si="112">AM61/AM59</f>
        <v>0.16560257259043465</v>
      </c>
      <c r="AN62" s="68">
        <f t="shared" ref="AN62" si="113">AN61/AN59</f>
        <v>0.17582734608931347</v>
      </c>
      <c r="AO62" s="68">
        <f t="shared" ref="AO62" si="114">AO61/AO59</f>
        <v>0.16391137081273788</v>
      </c>
      <c r="AP62" s="68">
        <f>AP61/AP59</f>
        <v>0.15516665550617248</v>
      </c>
      <c r="AQ62" s="68">
        <f>AQ61/AQ59</f>
        <v>0.12756644885095808</v>
      </c>
      <c r="AR62" s="68">
        <f>AR61/AR59</f>
        <v>0.18532568608829694</v>
      </c>
    </row>
    <row r="63" spans="1:46" ht="16.5">
      <c r="B63" s="2"/>
      <c r="C63" s="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K63" s="51"/>
      <c r="AL63" s="51"/>
      <c r="AM63" s="51"/>
      <c r="AN63" s="51"/>
      <c r="AO63" s="51"/>
      <c r="AP63" s="51"/>
      <c r="AQ63" s="51"/>
      <c r="AR63" s="51"/>
    </row>
    <row r="64" spans="1:46" ht="16.5">
      <c r="B64" s="57" t="s">
        <v>0</v>
      </c>
      <c r="C64" s="57" t="s">
        <v>0</v>
      </c>
      <c r="D64" s="67"/>
      <c r="E64" s="67"/>
      <c r="F64" s="67"/>
      <c r="G64" s="67"/>
      <c r="H64" s="67">
        <v>373.10899999999998</v>
      </c>
      <c r="I64" s="67">
        <v>349.03699999999998</v>
      </c>
      <c r="J64" s="67">
        <v>632.49</v>
      </c>
      <c r="K64" s="67">
        <v>320.13499999999993</v>
      </c>
      <c r="L64" s="67">
        <v>439.267</v>
      </c>
      <c r="M64" s="67">
        <v>256.53500000000003</v>
      </c>
      <c r="N64" s="67">
        <v>536.62300000000005</v>
      </c>
      <c r="O64" s="67">
        <v>722.81399999999996</v>
      </c>
      <c r="P64" s="67">
        <v>155.494</v>
      </c>
      <c r="Q64" s="67">
        <v>821.82799999999997</v>
      </c>
      <c r="R64" s="67">
        <v>940.34297084002992</v>
      </c>
      <c r="S64" s="67">
        <v>619.45856803192009</v>
      </c>
      <c r="T64" s="67">
        <v>811.93</v>
      </c>
      <c r="U64" s="67">
        <v>646.51800000000003</v>
      </c>
      <c r="V64" s="67">
        <v>889.56799999999998</v>
      </c>
      <c r="W64" s="67">
        <v>901.625</v>
      </c>
      <c r="X64" s="67">
        <v>987.73798472167095</v>
      </c>
      <c r="Y64" s="67">
        <v>429.92185369972918</v>
      </c>
      <c r="Z64" s="67">
        <v>740.10783523799989</v>
      </c>
      <c r="AA64" s="67">
        <v>735.16468335029992</v>
      </c>
      <c r="AB64" s="67">
        <v>-85.191612199999994</v>
      </c>
      <c r="AC64" s="67">
        <v>47.290618918799971</v>
      </c>
      <c r="AD64" s="67">
        <v>728.28598691000013</v>
      </c>
      <c r="AE64" s="67">
        <v>576.45581602400011</v>
      </c>
      <c r="AF64" s="67">
        <v>1201.5269339270999</v>
      </c>
      <c r="AG64" s="67">
        <v>882.06050247619999</v>
      </c>
      <c r="AH64" s="67">
        <v>968.43920679719974</v>
      </c>
      <c r="AI64" s="67">
        <v>1134.5533269693999</v>
      </c>
      <c r="AK64" s="67">
        <f>SUM(D64:G64)</f>
        <v>0</v>
      </c>
      <c r="AL64" s="67">
        <f>SUM(H64:K64)</f>
        <v>1674.771</v>
      </c>
      <c r="AM64" s="67">
        <f>SUM(L64:O64)</f>
        <v>1955.239</v>
      </c>
      <c r="AN64" s="67">
        <f>SUM(P64:S64)</f>
        <v>2537.1235388719501</v>
      </c>
      <c r="AO64" s="67">
        <f>SUM(T64:W64)</f>
        <v>3249.6409999999996</v>
      </c>
      <c r="AP64" s="67">
        <f>SUM(X64:AA64)</f>
        <v>2892.9323570096999</v>
      </c>
      <c r="AQ64" s="67">
        <f>SUM(AB64:AE64)</f>
        <v>1266.8408096528001</v>
      </c>
      <c r="AR64" s="67">
        <f>SUM(AF64:AI64)</f>
        <v>4186.5799701698998</v>
      </c>
    </row>
    <row r="65" spans="1:46" ht="16.5">
      <c r="B65" s="57" t="s">
        <v>170</v>
      </c>
      <c r="C65" s="57" t="s">
        <v>291</v>
      </c>
      <c r="D65" s="68"/>
      <c r="E65" s="68"/>
      <c r="F65" s="68"/>
      <c r="G65" s="68"/>
      <c r="H65" s="68">
        <f t="shared" ref="H65:AE65" si="115">H64/H59</f>
        <v>7.8448403284450907E-2</v>
      </c>
      <c r="I65" s="68">
        <f t="shared" si="115"/>
        <v>6.771917101119615E-2</v>
      </c>
      <c r="J65" s="68">
        <f t="shared" si="115"/>
        <v>0.11461393339674499</v>
      </c>
      <c r="K65" s="68">
        <f t="shared" si="115"/>
        <v>5.9883717450089247E-2</v>
      </c>
      <c r="L65" s="68">
        <f t="shared" si="115"/>
        <v>8.7229724912818329E-2</v>
      </c>
      <c r="M65" s="68">
        <f t="shared" si="115"/>
        <v>4.1979245281783859E-2</v>
      </c>
      <c r="N65" s="68">
        <f t="shared" si="115"/>
        <v>8.9343028895220736E-2</v>
      </c>
      <c r="O65" s="68">
        <f t="shared" si="115"/>
        <v>0.11444207143753723</v>
      </c>
      <c r="P65" s="68">
        <f t="shared" si="115"/>
        <v>2.3471355765368556E-2</v>
      </c>
      <c r="Q65" s="68">
        <f t="shared" si="115"/>
        <v>9.6207450754479298E-2</v>
      </c>
      <c r="R65" s="68">
        <f t="shared" si="115"/>
        <v>0.12229148010016309</v>
      </c>
      <c r="S65" s="68">
        <f t="shared" si="115"/>
        <v>6.6503908569654047E-2</v>
      </c>
      <c r="T65" s="68">
        <f t="shared" si="115"/>
        <v>9.2391664830702686E-2</v>
      </c>
      <c r="U65" s="68">
        <f t="shared" si="115"/>
        <v>6.0263676304422926E-2</v>
      </c>
      <c r="V65" s="68">
        <f t="shared" si="115"/>
        <v>8.1337880713560753E-2</v>
      </c>
      <c r="W65" s="68">
        <f t="shared" si="115"/>
        <v>8.4863957006858629E-2</v>
      </c>
      <c r="X65" s="68">
        <f t="shared" si="115"/>
        <v>9.9296537081207489E-2</v>
      </c>
      <c r="Y65" s="68">
        <f t="shared" si="115"/>
        <v>4.1382623733215343E-2</v>
      </c>
      <c r="Z65" s="68">
        <f t="shared" si="115"/>
        <v>6.6348948938491165E-2</v>
      </c>
      <c r="AA65" s="68">
        <f t="shared" si="115"/>
        <v>6.938435716910156E-2</v>
      </c>
      <c r="AB65" s="68">
        <f t="shared" si="115"/>
        <v>-9.0700442298242128E-3</v>
      </c>
      <c r="AC65" s="68">
        <f t="shared" si="115"/>
        <v>5.3751749311456423E-3</v>
      </c>
      <c r="AD65" s="68">
        <v>7.3634921582704724E-2</v>
      </c>
      <c r="AE65" s="68">
        <f t="shared" si="115"/>
        <v>5.5356763649691935E-2</v>
      </c>
      <c r="AF65" s="68">
        <f t="shared" ref="AF65:AI65" si="116">AF64/AF59</f>
        <v>0.12698556443292358</v>
      </c>
      <c r="AG65" s="68">
        <f t="shared" si="116"/>
        <v>7.8206178172503721E-2</v>
      </c>
      <c r="AH65" s="68">
        <f t="shared" si="116"/>
        <v>8.5502541262130444E-2</v>
      </c>
      <c r="AI65" s="68">
        <f t="shared" si="116"/>
        <v>9.7051160496338107E-2</v>
      </c>
      <c r="AK65" s="68">
        <f>AK64/AK59</f>
        <v>0</v>
      </c>
      <c r="AL65" s="68">
        <f t="shared" ref="AL65" si="117">AL64/AL59</f>
        <v>8.0615998143508671E-2</v>
      </c>
      <c r="AM65" s="68">
        <f t="shared" ref="AM65" si="118">AM64/AM59</f>
        <v>8.3311387949250637E-2</v>
      </c>
      <c r="AN65" s="68">
        <f t="shared" ref="AN65" si="119">AN64/AN59</f>
        <v>7.8863518627020263E-2</v>
      </c>
      <c r="AO65" s="68">
        <f t="shared" ref="AO65" si="120">AO64/AO59</f>
        <v>7.911072114892917E-2</v>
      </c>
      <c r="AP65" s="68">
        <f>AP64/AP59</f>
        <v>6.8737578837958654E-2</v>
      </c>
      <c r="AQ65" s="68">
        <f>AQ64/AQ59</f>
        <v>3.2909600203367029E-2</v>
      </c>
      <c r="AR65" s="68">
        <f>AR64/AR59</f>
        <v>9.5677356569098843E-2</v>
      </c>
    </row>
    <row r="66" spans="1:46" ht="16.5">
      <c r="B66" s="4"/>
      <c r="C66" s="4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K66" s="51"/>
      <c r="AL66" s="51"/>
      <c r="AM66" s="51"/>
      <c r="AN66" s="51"/>
      <c r="AO66" s="51"/>
      <c r="AP66" s="51"/>
      <c r="AQ66" s="51"/>
      <c r="AR66" s="51"/>
    </row>
    <row r="67" spans="1:46" ht="16.5">
      <c r="B67" s="57" t="s">
        <v>1</v>
      </c>
      <c r="C67" s="57" t="s">
        <v>1</v>
      </c>
      <c r="D67" s="62">
        <v>527.78</v>
      </c>
      <c r="E67" s="62">
        <v>609.59699999999998</v>
      </c>
      <c r="F67" s="62">
        <v>720.22500000000002</v>
      </c>
      <c r="G67" s="62">
        <v>675.71600000000001</v>
      </c>
      <c r="H67" s="62">
        <v>443.58300000000003</v>
      </c>
      <c r="I67" s="62">
        <v>427.6</v>
      </c>
      <c r="J67" s="62">
        <v>721.69899999999996</v>
      </c>
      <c r="K67" s="62">
        <v>408.71899999999999</v>
      </c>
      <c r="L67" s="62">
        <v>588.47</v>
      </c>
      <c r="M67" s="62">
        <v>416.709</v>
      </c>
      <c r="N67" s="62">
        <v>702.91899999999998</v>
      </c>
      <c r="O67" s="62">
        <v>886.74442172363899</v>
      </c>
      <c r="P67" s="62">
        <v>328.31299999999999</v>
      </c>
      <c r="Q67" s="62">
        <v>1057.2149999999999</v>
      </c>
      <c r="R67" s="62">
        <v>1157.8309999999999</v>
      </c>
      <c r="S67" s="62">
        <v>844.63430191582995</v>
      </c>
      <c r="T67" s="62">
        <v>1026.3227602995701</v>
      </c>
      <c r="U67" s="62">
        <v>853.86084552117097</v>
      </c>
      <c r="V67" s="62">
        <v>1183.5</v>
      </c>
      <c r="W67" s="62">
        <v>1177.4452695739412</v>
      </c>
      <c r="X67" s="62">
        <v>1232.7271052705939</v>
      </c>
      <c r="Y67" s="62">
        <v>679.84228011720631</v>
      </c>
      <c r="Z67" s="62">
        <v>999.16762521299984</v>
      </c>
      <c r="AA67" s="62">
        <v>1010.2739592519</v>
      </c>
      <c r="AB67" s="62">
        <v>231.67962829999999</v>
      </c>
      <c r="AC67" s="62">
        <v>386.32637949119999</v>
      </c>
      <c r="AD67" s="62">
        <v>1020.8595392188001</v>
      </c>
      <c r="AE67" s="62">
        <v>966.68074835200002</v>
      </c>
      <c r="AF67" s="62">
        <v>1551.7467229967999</v>
      </c>
      <c r="AG67" s="62">
        <v>1253.4302351258</v>
      </c>
      <c r="AH67" s="62">
        <v>1368.0303173423999</v>
      </c>
      <c r="AI67" s="62">
        <v>1583.1407387003001</v>
      </c>
      <c r="AK67" s="62">
        <f>SUM(D67:G67)</f>
        <v>2533.3179999999998</v>
      </c>
      <c r="AL67" s="62">
        <f>SUM(H67:K67)</f>
        <v>2001.6010000000001</v>
      </c>
      <c r="AM67" s="62">
        <f>SUM(L67:O67)</f>
        <v>2594.8424217236388</v>
      </c>
      <c r="AN67" s="62">
        <f>SUM(P67:S67)</f>
        <v>3387.9933019158293</v>
      </c>
      <c r="AO67" s="62">
        <f>SUM(T67:W67)</f>
        <v>4241.1288753946819</v>
      </c>
      <c r="AP67" s="62">
        <f>SUM(X67:AA67)</f>
        <v>3922.0109698527003</v>
      </c>
      <c r="AQ67" s="62">
        <f>SUM(AB67:AE67)</f>
        <v>2605.5462953620004</v>
      </c>
      <c r="AR67" s="62">
        <f>SUM(AF67:AI67)</f>
        <v>5756.3480141652999</v>
      </c>
    </row>
    <row r="68" spans="1:46" ht="16.5">
      <c r="B68" s="57" t="s">
        <v>97</v>
      </c>
      <c r="C68" s="57" t="s">
        <v>237</v>
      </c>
      <c r="D68" s="68">
        <f t="shared" ref="D68:AE68" si="121">D67/D59</f>
        <v>0.12021764820040254</v>
      </c>
      <c r="E68" s="68">
        <f t="shared" si="121"/>
        <v>0.12435735125698238</v>
      </c>
      <c r="F68" s="68">
        <f t="shared" si="121"/>
        <v>0.1346615665820558</v>
      </c>
      <c r="G68" s="68">
        <f t="shared" si="121"/>
        <v>0.13020770305715898</v>
      </c>
      <c r="H68" s="68">
        <f t="shared" si="121"/>
        <v>9.3265984133662258E-2</v>
      </c>
      <c r="I68" s="68">
        <f t="shared" si="121"/>
        <v>8.2961741948238937E-2</v>
      </c>
      <c r="J68" s="68">
        <f t="shared" si="121"/>
        <v>0.13077955559534135</v>
      </c>
      <c r="K68" s="68">
        <f t="shared" si="121"/>
        <v>7.6454036929679767E-2</v>
      </c>
      <c r="L68" s="68">
        <f t="shared" si="121"/>
        <v>0.11685848520249918</v>
      </c>
      <c r="M68" s="68">
        <f t="shared" si="121"/>
        <v>6.819002990674515E-2</v>
      </c>
      <c r="N68" s="68">
        <f t="shared" si="121"/>
        <v>0.11702985620817531</v>
      </c>
      <c r="O68" s="68">
        <f t="shared" si="121"/>
        <v>0.14039693262406974</v>
      </c>
      <c r="P68" s="68">
        <f t="shared" si="121"/>
        <v>4.9557868634130232E-2</v>
      </c>
      <c r="Q68" s="68">
        <f t="shared" si="121"/>
        <v>0.1237630745720477</v>
      </c>
      <c r="R68" s="68">
        <f t="shared" si="121"/>
        <v>0.15057576978468162</v>
      </c>
      <c r="S68" s="68">
        <f t="shared" si="121"/>
        <v>9.0678352497191486E-2</v>
      </c>
      <c r="T68" s="68">
        <f t="shared" si="121"/>
        <v>0.11678798477420406</v>
      </c>
      <c r="U68" s="68">
        <f t="shared" si="121"/>
        <v>7.9590658888861118E-2</v>
      </c>
      <c r="V68" s="68">
        <f t="shared" si="121"/>
        <v>0.10821362933974599</v>
      </c>
      <c r="W68" s="68">
        <f t="shared" si="121"/>
        <v>0.11082508219609263</v>
      </c>
      <c r="X68" s="68">
        <f t="shared" si="121"/>
        <v>0.12392510424108379</v>
      </c>
      <c r="Y68" s="68">
        <f t="shared" si="121"/>
        <v>6.5439002539449787E-2</v>
      </c>
      <c r="Z68" s="68">
        <f t="shared" si="121"/>
        <v>8.957305758684804E-2</v>
      </c>
      <c r="AA68" s="68">
        <f t="shared" si="121"/>
        <v>9.5348988893112316E-2</v>
      </c>
      <c r="AB68" s="68">
        <f t="shared" si="121"/>
        <v>2.4666095893302434E-2</v>
      </c>
      <c r="AC68" s="68">
        <f t="shared" si="121"/>
        <v>4.3910862614145937E-2</v>
      </c>
      <c r="AD68" s="68">
        <v>0.10321620004837724</v>
      </c>
      <c r="AE68" s="68">
        <f t="shared" si="121"/>
        <v>9.2829868697171872E-2</v>
      </c>
      <c r="AF68" s="68">
        <f t="shared" ref="AF68:AH68" si="122">AF67/AF59</f>
        <v>0.16399918130228425</v>
      </c>
      <c r="AG68" s="68">
        <f t="shared" si="122"/>
        <v>0.11113295292087576</v>
      </c>
      <c r="AH68" s="68">
        <f t="shared" si="122"/>
        <v>0.12078204582738314</v>
      </c>
      <c r="AI68" s="68">
        <f>AI67/AI59</f>
        <v>0.13542390848238911</v>
      </c>
      <c r="AK68" s="68">
        <f>AK67/AK59</f>
        <v>0.12775105579322438</v>
      </c>
      <c r="AL68" s="68">
        <f t="shared" ref="AL68" si="123">AL67/AL59</f>
        <v>9.6348135058491644E-2</v>
      </c>
      <c r="AM68" s="68">
        <f t="shared" ref="AM68" si="124">AM67/AM59</f>
        <v>0.11056444949358678</v>
      </c>
      <c r="AN68" s="68">
        <f t="shared" ref="AN68" si="125">AN67/AN59</f>
        <v>0.10531181031596745</v>
      </c>
      <c r="AO68" s="68">
        <f t="shared" ref="AO68" si="126">AO67/AO59</f>
        <v>0.10324794764037636</v>
      </c>
      <c r="AP68" s="68">
        <f>AP67/AP59</f>
        <v>9.3189022408478234E-2</v>
      </c>
      <c r="AQ68" s="68">
        <f>AQ67/AQ59</f>
        <v>6.7686078817770404E-2</v>
      </c>
      <c r="AR68" s="68">
        <f>AR67/AR59</f>
        <v>0.13155180730126287</v>
      </c>
    </row>
    <row r="69" spans="1:46" ht="16.5">
      <c r="B69" s="4"/>
      <c r="C69" s="4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K69" s="48"/>
      <c r="AL69" s="48"/>
      <c r="AM69" s="48"/>
      <c r="AN69" s="48"/>
      <c r="AO69" s="48"/>
      <c r="AP69" s="48"/>
      <c r="AQ69" s="48"/>
      <c r="AR69" s="48"/>
    </row>
    <row r="70" spans="1:46" ht="16.5">
      <c r="B70" s="6" t="s">
        <v>6</v>
      </c>
      <c r="C70" s="6" t="s">
        <v>6</v>
      </c>
      <c r="D70" s="44" t="s">
        <v>20</v>
      </c>
      <c r="E70" s="44" t="s">
        <v>21</v>
      </c>
      <c r="F70" s="44" t="s">
        <v>22</v>
      </c>
      <c r="G70" s="44" t="s">
        <v>23</v>
      </c>
      <c r="H70" s="44" t="s">
        <v>24</v>
      </c>
      <c r="I70" s="44" t="s">
        <v>25</v>
      </c>
      <c r="J70" s="44" t="s">
        <v>26</v>
      </c>
      <c r="K70" s="44" t="s">
        <v>27</v>
      </c>
      <c r="L70" s="44" t="s">
        <v>28</v>
      </c>
      <c r="M70" s="44" t="s">
        <v>29</v>
      </c>
      <c r="N70" s="44" t="s">
        <v>30</v>
      </c>
      <c r="O70" s="44" t="s">
        <v>31</v>
      </c>
      <c r="P70" s="44" t="s">
        <v>32</v>
      </c>
      <c r="Q70" s="44" t="s">
        <v>33</v>
      </c>
      <c r="R70" s="44" t="s">
        <v>34</v>
      </c>
      <c r="S70" s="44" t="s">
        <v>35</v>
      </c>
      <c r="T70" s="44" t="s">
        <v>36</v>
      </c>
      <c r="U70" s="44" t="s">
        <v>183</v>
      </c>
      <c r="V70" s="44" t="s">
        <v>187</v>
      </c>
      <c r="W70" s="44" t="str">
        <f>W5</f>
        <v>4Q21</v>
      </c>
      <c r="X70" s="45" t="s">
        <v>189</v>
      </c>
      <c r="Y70" s="17" t="s">
        <v>302</v>
      </c>
      <c r="Z70" s="17" t="s">
        <v>354</v>
      </c>
      <c r="AA70" s="17" t="s">
        <v>355</v>
      </c>
      <c r="AB70" s="17" t="s">
        <v>393</v>
      </c>
      <c r="AC70" s="17" t="s">
        <v>398</v>
      </c>
      <c r="AD70" s="17" t="s">
        <v>428</v>
      </c>
      <c r="AE70" s="17" t="str">
        <f>AE5</f>
        <v>4Q23</v>
      </c>
      <c r="AF70" s="17" t="str">
        <f>AF5</f>
        <v>1Q24</v>
      </c>
      <c r="AG70" s="17" t="str">
        <f>AG5</f>
        <v>2Q24</v>
      </c>
      <c r="AH70" s="17" t="s">
        <v>442</v>
      </c>
      <c r="AI70" s="17" t="str">
        <f>AI57</f>
        <v>4Q24</v>
      </c>
      <c r="AK70" s="44">
        <v>2017</v>
      </c>
      <c r="AL70" s="44">
        <v>2018</v>
      </c>
      <c r="AM70" s="44">
        <v>2019</v>
      </c>
      <c r="AN70" s="44">
        <v>2020</v>
      </c>
      <c r="AO70" s="44">
        <v>2021</v>
      </c>
      <c r="AP70" s="44">
        <v>2022</v>
      </c>
      <c r="AQ70" s="7">
        <f>AQ5</f>
        <v>2023</v>
      </c>
      <c r="AR70" s="7">
        <f>AR5</f>
        <v>2024</v>
      </c>
    </row>
    <row r="71" spans="1:46" ht="16.5">
      <c r="B71" s="4"/>
      <c r="C71" s="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K71" s="48"/>
      <c r="AL71" s="48"/>
      <c r="AM71" s="48"/>
      <c r="AN71" s="48"/>
      <c r="AO71" s="48"/>
      <c r="AP71" s="48"/>
      <c r="AQ71" s="48"/>
      <c r="AR71" s="48"/>
    </row>
    <row r="72" spans="1:46" ht="16.5">
      <c r="B72" s="57" t="s">
        <v>78</v>
      </c>
      <c r="C72" s="57" t="s">
        <v>239</v>
      </c>
      <c r="D72" s="67">
        <v>7929.2070000000003</v>
      </c>
      <c r="E72" s="67">
        <v>8986.8760000000002</v>
      </c>
      <c r="F72" s="67">
        <v>8826.3979999999992</v>
      </c>
      <c r="G72" s="67">
        <f>8890.978-300</f>
        <v>8590.9779999999992</v>
      </c>
      <c r="H72" s="67">
        <v>8896.3469999999998</v>
      </c>
      <c r="I72" s="67">
        <v>10213.457</v>
      </c>
      <c r="J72" s="67">
        <v>10662.948</v>
      </c>
      <c r="K72" s="67">
        <v>10108.25</v>
      </c>
      <c r="L72" s="67">
        <v>10259.111999999999</v>
      </c>
      <c r="M72" s="67">
        <v>11126.798000000001</v>
      </c>
      <c r="N72" s="67">
        <v>11021.575000000001</v>
      </c>
      <c r="O72" s="67">
        <v>12598.374</v>
      </c>
      <c r="P72" s="67">
        <v>13690.878000000001</v>
      </c>
      <c r="Q72" s="67">
        <v>15201.882</v>
      </c>
      <c r="R72" s="67">
        <v>16527.228999999999</v>
      </c>
      <c r="S72" s="67">
        <v>16807.665699271402</v>
      </c>
      <c r="T72" s="67">
        <v>17897.911736439601</v>
      </c>
      <c r="U72" s="67">
        <v>19246.05</v>
      </c>
      <c r="V72" s="67">
        <v>19999.2</v>
      </c>
      <c r="W72" s="67">
        <v>22530.456657254199</v>
      </c>
      <c r="X72" s="67">
        <v>22173.336501055503</v>
      </c>
      <c r="Y72" s="67">
        <v>22775.001982156802</v>
      </c>
      <c r="Z72" s="67">
        <v>23441.1313970175</v>
      </c>
      <c r="AA72" s="67">
        <v>21675.363254219599</v>
      </c>
      <c r="AB72" s="67">
        <v>21620.617904086703</v>
      </c>
      <c r="AC72" s="67">
        <v>21314.665640740699</v>
      </c>
      <c r="AD72" s="67">
        <v>21261.373291901498</v>
      </c>
      <c r="AE72" s="67">
        <v>22412.531504113398</v>
      </c>
      <c r="AF72" s="67">
        <v>21585.6074214363</v>
      </c>
      <c r="AG72" s="67">
        <v>23767.606</v>
      </c>
      <c r="AH72" s="67">
        <v>25403.858731</v>
      </c>
      <c r="AI72" s="67">
        <v>25521.857363000003</v>
      </c>
      <c r="AK72" s="67">
        <f>SUM(D72:G72)</f>
        <v>34333.459000000003</v>
      </c>
      <c r="AL72" s="67">
        <f>SUM(H72:K72)</f>
        <v>39881.002</v>
      </c>
      <c r="AM72" s="67">
        <f>SUM(L72:O72)</f>
        <v>45005.858999999997</v>
      </c>
      <c r="AN72" s="67">
        <f>SUM(P72:S72)</f>
        <v>62227.654699271399</v>
      </c>
      <c r="AO72" s="67">
        <f>SUM(T72:W72)</f>
        <v>79673.618393693789</v>
      </c>
      <c r="AP72" s="67">
        <f>SUM(X72:AA72)</f>
        <v>90064.833134449407</v>
      </c>
      <c r="AQ72" s="67">
        <f>SUM(AB72:AE72)</f>
        <v>86609.188340842302</v>
      </c>
      <c r="AR72" s="67">
        <f>SUM(AF72:AI72)</f>
        <v>96278.929515436306</v>
      </c>
    </row>
    <row r="73" spans="1:46" s="43" customFormat="1" ht="16.5">
      <c r="A73"/>
      <c r="B73" s="9" t="s">
        <v>168</v>
      </c>
      <c r="C73" s="9" t="s">
        <v>318</v>
      </c>
      <c r="D73" s="50">
        <v>-6674.0398894900009</v>
      </c>
      <c r="E73" s="50">
        <v>-7003.2984277900014</v>
      </c>
      <c r="F73" s="50">
        <v>-6985.3654983000006</v>
      </c>
      <c r="G73" s="50">
        <v>-7621.9010412999996</v>
      </c>
      <c r="H73" s="50">
        <v>-7553.7776781499988</v>
      </c>
      <c r="I73" s="50">
        <v>-8747.8450945200002</v>
      </c>
      <c r="J73" s="50">
        <v>-9455.7203350400014</v>
      </c>
      <c r="K73" s="50">
        <v>-9125.0529850000003</v>
      </c>
      <c r="L73" s="50">
        <v>-8908.64</v>
      </c>
      <c r="M73" s="50">
        <v>-9152.26</v>
      </c>
      <c r="N73" s="50">
        <v>-9398.08</v>
      </c>
      <c r="O73" s="50">
        <v>-11215.957360750001</v>
      </c>
      <c r="P73" s="50">
        <v>-12269.536</v>
      </c>
      <c r="Q73" s="50">
        <v>-13776.462</v>
      </c>
      <c r="R73" s="50">
        <v>-14063.904</v>
      </c>
      <c r="S73" s="50">
        <v>-14689.717995389999</v>
      </c>
      <c r="T73" s="50">
        <v>-15597.94284</v>
      </c>
      <c r="U73" s="50">
        <v>-16326.239090589999</v>
      </c>
      <c r="V73" s="50">
        <v>-17041</v>
      </c>
      <c r="W73" s="50">
        <v>-19279.447438920004</v>
      </c>
      <c r="X73" s="50">
        <v>-18096.312686580004</v>
      </c>
      <c r="Y73" s="50">
        <v>-18247.15629888</v>
      </c>
      <c r="Z73" s="50">
        <v>-19643.923810849999</v>
      </c>
      <c r="AA73" s="50">
        <v>-20028.77939412</v>
      </c>
      <c r="AB73" s="50">
        <v>-19620.043858500001</v>
      </c>
      <c r="AC73" s="50">
        <v>-18846.433126439999</v>
      </c>
      <c r="AD73" s="50">
        <v>-18505.223498520001</v>
      </c>
      <c r="AE73" s="50">
        <v>-19623.690521600001</v>
      </c>
      <c r="AF73" s="50">
        <v>-18534.0260886</v>
      </c>
      <c r="AG73" s="50">
        <v>-18984.284673000002</v>
      </c>
      <c r="AH73" s="50">
        <v>-20356.643366</v>
      </c>
      <c r="AI73" s="50">
        <v>-20947.361690999998</v>
      </c>
      <c r="AJ73" s="53"/>
      <c r="AK73" s="50">
        <f>SUM(D73:G73)</f>
        <v>-28284.604856880003</v>
      </c>
      <c r="AL73" s="50">
        <f>SUM(H73:K73)</f>
        <v>-34882.396092709998</v>
      </c>
      <c r="AM73" s="50">
        <f>SUM(L73:O73)</f>
        <v>-38674.937360750002</v>
      </c>
      <c r="AN73" s="50">
        <f>SUM(P73:S73)</f>
        <v>-54799.61999539</v>
      </c>
      <c r="AO73" s="50">
        <f>SUM(T73:W73)</f>
        <v>-68244.629369510003</v>
      </c>
      <c r="AP73" s="50">
        <f>SUM(X73:AA73)</f>
        <v>-76016.172190429992</v>
      </c>
      <c r="AQ73" s="50">
        <f>SUM(AB73:AE73)</f>
        <v>-76595.39100506001</v>
      </c>
      <c r="AR73" s="50">
        <f>SUM(AF73:AI73)</f>
        <v>-78822.315818600007</v>
      </c>
      <c r="AS73" s="53"/>
      <c r="AT73" s="53"/>
    </row>
    <row r="74" spans="1:46" ht="16.5">
      <c r="B74" s="57" t="s">
        <v>80</v>
      </c>
      <c r="C74" s="57" t="s">
        <v>319</v>
      </c>
      <c r="D74" s="62">
        <f t="shared" ref="D74" si="127">D72+D73</f>
        <v>1255.1671105099995</v>
      </c>
      <c r="E74" s="62">
        <f t="shared" ref="E74" si="128">E72+E73</f>
        <v>1983.5775722099988</v>
      </c>
      <c r="F74" s="62">
        <f t="shared" ref="F74:G74" si="129">F72+F73</f>
        <v>1841.0325016999986</v>
      </c>
      <c r="G74" s="62">
        <f t="shared" si="129"/>
        <v>969.07695869999952</v>
      </c>
      <c r="H74" s="62">
        <f t="shared" ref="H74" si="130">H72+H73</f>
        <v>1342.569321850001</v>
      </c>
      <c r="I74" s="62">
        <f t="shared" ref="I74" si="131">I72+I73</f>
        <v>1465.6119054800001</v>
      </c>
      <c r="J74" s="62">
        <f t="shared" ref="J74" si="132">J72+J73</f>
        <v>1207.2276649599989</v>
      </c>
      <c r="K74" s="62">
        <f t="shared" ref="K74" si="133">K72+K73</f>
        <v>983.19701499999974</v>
      </c>
      <c r="L74" s="62">
        <f t="shared" ref="L74" si="134">L72+L73</f>
        <v>1350.4719999999998</v>
      </c>
      <c r="M74" s="62">
        <f t="shared" ref="M74" si="135">M72+M73</f>
        <v>1974.5380000000005</v>
      </c>
      <c r="N74" s="62">
        <f t="shared" ref="N74" si="136">N72+N73</f>
        <v>1623.4950000000008</v>
      </c>
      <c r="O74" s="62">
        <f t="shared" ref="O74" si="137">O72+O73</f>
        <v>1382.4166392499992</v>
      </c>
      <c r="P74" s="62">
        <f t="shared" ref="P74" si="138">P72+P73</f>
        <v>1421.3420000000006</v>
      </c>
      <c r="Q74" s="62">
        <f t="shared" ref="Q74" si="139">Q72+Q73</f>
        <v>1425.42</v>
      </c>
      <c r="R74" s="62">
        <f t="shared" ref="R74" si="140">R72+R73</f>
        <v>2463.3249999999989</v>
      </c>
      <c r="S74" s="62">
        <f>S72+S73</f>
        <v>2117.947703881402</v>
      </c>
      <c r="T74" s="62">
        <v>2299.9688964396009</v>
      </c>
      <c r="U74" s="62">
        <v>2919.81090941</v>
      </c>
      <c r="V74" s="62">
        <v>2958.3</v>
      </c>
      <c r="W74" s="62">
        <v>3251.0092183341949</v>
      </c>
      <c r="X74" s="56">
        <f t="shared" ref="X74:AD74" si="141">SUM(X72:X73)</f>
        <v>4077.0238144754985</v>
      </c>
      <c r="Y74" s="56">
        <f t="shared" si="141"/>
        <v>4527.8456832768024</v>
      </c>
      <c r="Z74" s="56">
        <f t="shared" si="141"/>
        <v>3797.2075861675003</v>
      </c>
      <c r="AA74" s="56">
        <f t="shared" si="141"/>
        <v>1646.5838600995994</v>
      </c>
      <c r="AB74" s="56">
        <f t="shared" si="141"/>
        <v>2000.5740455867017</v>
      </c>
      <c r="AC74" s="56">
        <f t="shared" si="141"/>
        <v>2468.2325143007001</v>
      </c>
      <c r="AD74" s="56">
        <f t="shared" si="141"/>
        <v>2756.1497933814971</v>
      </c>
      <c r="AE74" s="56">
        <f>SUM(AE72:AE73)</f>
        <v>2788.8409825133967</v>
      </c>
      <c r="AF74" s="56">
        <f>SUM(AF72:AF73)</f>
        <v>3051.5813328363001</v>
      </c>
      <c r="AG74" s="56">
        <f>SUM(AG72:AG73)</f>
        <v>4783.3213269999978</v>
      </c>
      <c r="AH74" s="56">
        <f>SUM(AH72:AH73)</f>
        <v>5047.215365</v>
      </c>
      <c r="AI74" s="56">
        <f>SUM(AI72:AI73)</f>
        <v>4574.4956720000046</v>
      </c>
      <c r="AK74" s="62">
        <f>SUM(AK72:AK73)</f>
        <v>6048.8541431199992</v>
      </c>
      <c r="AL74" s="62">
        <f t="shared" ref="AL74" si="142">SUM(AL72:AL73)</f>
        <v>4998.6059072900025</v>
      </c>
      <c r="AM74" s="62">
        <f t="shared" ref="AM74" si="143">SUM(AM72:AM73)</f>
        <v>6330.9216392499948</v>
      </c>
      <c r="AN74" s="62">
        <f t="shared" ref="AN74" si="144">SUM(AN72:AN73)</f>
        <v>7428.0347038813998</v>
      </c>
      <c r="AO74" s="62">
        <f t="shared" ref="AO74" si="145">SUM(AO72:AO73)</f>
        <v>11428.989024183786</v>
      </c>
      <c r="AP74" s="62">
        <f>SUM(AP72:AP73)</f>
        <v>14048.660944019415</v>
      </c>
      <c r="AQ74" s="62">
        <f>SUM(AB74:AE74)</f>
        <v>10013.797335782296</v>
      </c>
      <c r="AR74" s="62">
        <f>SUM(AF74:AI74)</f>
        <v>17456.613696836303</v>
      </c>
    </row>
    <row r="75" spans="1:46" ht="16.5">
      <c r="B75" s="57" t="s">
        <v>169</v>
      </c>
      <c r="C75" s="57" t="s">
        <v>290</v>
      </c>
      <c r="D75" s="68">
        <f>D74/D72</f>
        <v>0.15829667588574739</v>
      </c>
      <c r="E75" s="68">
        <f t="shared" ref="E75:AE75" si="146">E74/E72</f>
        <v>0.22071936590757443</v>
      </c>
      <c r="F75" s="68">
        <f t="shared" si="146"/>
        <v>0.20858253861881129</v>
      </c>
      <c r="G75" s="68">
        <f t="shared" si="146"/>
        <v>0.11280170414823547</v>
      </c>
      <c r="H75" s="68">
        <f t="shared" si="146"/>
        <v>0.15091242752221795</v>
      </c>
      <c r="I75" s="68">
        <f t="shared" si="146"/>
        <v>0.1434981226709037</v>
      </c>
      <c r="J75" s="68">
        <f t="shared" si="146"/>
        <v>0.11321706388889817</v>
      </c>
      <c r="K75" s="68">
        <f t="shared" si="146"/>
        <v>9.726678851433232E-2</v>
      </c>
      <c r="L75" s="68">
        <f t="shared" si="146"/>
        <v>0.13163634435417021</v>
      </c>
      <c r="M75" s="68">
        <f t="shared" si="146"/>
        <v>0.17745788141386232</v>
      </c>
      <c r="N75" s="68">
        <f t="shared" si="146"/>
        <v>0.14730154265610865</v>
      </c>
      <c r="O75" s="68">
        <f t="shared" si="146"/>
        <v>0.10972976665480794</v>
      </c>
      <c r="P75" s="68">
        <f t="shared" si="146"/>
        <v>0.10381671650276925</v>
      </c>
      <c r="Q75" s="68">
        <f t="shared" si="146"/>
        <v>9.3766021864924359E-2</v>
      </c>
      <c r="R75" s="68">
        <f t="shared" si="146"/>
        <v>0.14904646144855857</v>
      </c>
      <c r="S75" s="68">
        <f t="shared" si="146"/>
        <v>0.12601081802651593</v>
      </c>
      <c r="T75" s="68">
        <f t="shared" si="146"/>
        <v>0.12850487421708168</v>
      </c>
      <c r="U75" s="68">
        <f t="shared" si="146"/>
        <v>0.15170961882620071</v>
      </c>
      <c r="V75" s="68">
        <f t="shared" si="146"/>
        <v>0.14792091683667347</v>
      </c>
      <c r="W75" s="68">
        <f t="shared" si="146"/>
        <v>0.14429397804892949</v>
      </c>
      <c r="X75" s="68">
        <f t="shared" si="146"/>
        <v>0.18387056067459323</v>
      </c>
      <c r="Y75" s="68">
        <f t="shared" si="146"/>
        <v>0.19880769656240502</v>
      </c>
      <c r="Z75" s="68">
        <f t="shared" si="146"/>
        <v>0.16198909181707127</v>
      </c>
      <c r="AA75" s="68">
        <f t="shared" si="146"/>
        <v>7.5965686977774394E-2</v>
      </c>
      <c r="AB75" s="68">
        <f t="shared" si="146"/>
        <v>9.2530845069351858E-2</v>
      </c>
      <c r="AC75" s="68">
        <f t="shared" si="146"/>
        <v>0.11579972943994665</v>
      </c>
      <c r="AD75" s="68">
        <v>0.12963178603478639</v>
      </c>
      <c r="AE75" s="68">
        <f t="shared" si="146"/>
        <v>0.12443221694977015</v>
      </c>
      <c r="AF75" s="68">
        <f t="shared" ref="AF75:AH75" si="147">AF74/AF72</f>
        <v>0.14137111239250216</v>
      </c>
      <c r="AG75" s="68">
        <f t="shared" si="147"/>
        <v>0.20125381273149673</v>
      </c>
      <c r="AH75" s="68">
        <f t="shared" si="147"/>
        <v>0.1986790833016619</v>
      </c>
      <c r="AI75" s="68">
        <f t="shared" ref="AI75" si="148">AI74/AI72</f>
        <v>0.17923835271612415</v>
      </c>
      <c r="AK75" s="68">
        <f>AK74/AK72</f>
        <v>0.1761795729093302</v>
      </c>
      <c r="AL75" s="68">
        <f t="shared" ref="AL75" si="149">AL74/AL72</f>
        <v>0.12533802203089087</v>
      </c>
      <c r="AM75" s="68">
        <f t="shared" ref="AM75" si="150">AM74/AM72</f>
        <v>0.1406688324569029</v>
      </c>
      <c r="AN75" s="68">
        <f t="shared" ref="AN75" si="151">AN74/AN72</f>
        <v>0.11936870736618604</v>
      </c>
      <c r="AO75" s="68">
        <f t="shared" ref="AO75" si="152">AO74/AO72</f>
        <v>0.14344759601238841</v>
      </c>
      <c r="AP75" s="68">
        <f>AP74/AP72</f>
        <v>0.15598386690005273</v>
      </c>
      <c r="AQ75" s="68">
        <f>AQ74/AQ72</f>
        <v>0.11562049625005075</v>
      </c>
      <c r="AR75" s="68">
        <f>AR74/AR72</f>
        <v>0.18131291846195174</v>
      </c>
    </row>
    <row r="76" spans="1:46" ht="16.5">
      <c r="B76" s="2"/>
      <c r="C76" s="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K76" s="51"/>
      <c r="AL76" s="51"/>
      <c r="AM76" s="51"/>
      <c r="AN76" s="51"/>
      <c r="AO76" s="51"/>
      <c r="AP76" s="51"/>
      <c r="AQ76" s="51"/>
      <c r="AR76" s="51"/>
    </row>
    <row r="77" spans="1:46" ht="16.5">
      <c r="B77" s="57" t="s">
        <v>0</v>
      </c>
      <c r="C77" s="57" t="s">
        <v>0</v>
      </c>
      <c r="D77" s="67"/>
      <c r="E77" s="67"/>
      <c r="F77" s="67"/>
      <c r="G77" s="67"/>
      <c r="H77" s="67">
        <v>646.93499999999995</v>
      </c>
      <c r="I77" s="67">
        <v>658.01900000000001</v>
      </c>
      <c r="J77" s="67">
        <v>330.59300000000002</v>
      </c>
      <c r="K77" s="67">
        <v>118.202</v>
      </c>
      <c r="L77" s="67">
        <v>513.54</v>
      </c>
      <c r="M77" s="67">
        <v>1086.442</v>
      </c>
      <c r="N77" s="67">
        <v>739.67499999999995</v>
      </c>
      <c r="O77" s="67">
        <v>327.40899999999999</v>
      </c>
      <c r="P77" s="67">
        <v>339.66300000000001</v>
      </c>
      <c r="Q77" s="67">
        <v>103.622</v>
      </c>
      <c r="R77" s="67">
        <v>1094.51530619185</v>
      </c>
      <c r="S77" s="67">
        <v>576.53017722867992</v>
      </c>
      <c r="T77" s="67">
        <v>874.88599999999997</v>
      </c>
      <c r="U77" s="67">
        <v>1450.951</v>
      </c>
      <c r="V77" s="67">
        <v>1317.7070000000001</v>
      </c>
      <c r="W77" s="67">
        <v>1113.818</v>
      </c>
      <c r="X77" s="67">
        <v>2097.0913821560298</v>
      </c>
      <c r="Y77" s="67">
        <v>2584.8254199555704</v>
      </c>
      <c r="Z77" s="67">
        <v>1890.8215005075001</v>
      </c>
      <c r="AA77" s="67">
        <f>-217537.309521/1000</f>
        <v>-217.537309521</v>
      </c>
      <c r="AB77" s="67">
        <v>291.93711009999998</v>
      </c>
      <c r="AC77" s="67">
        <v>730.97205224400022</v>
      </c>
      <c r="AD77" s="67">
        <v>1084.7251812003997</v>
      </c>
      <c r="AE77" s="67">
        <v>978.90097364400003</v>
      </c>
      <c r="AF77" s="67">
        <v>1347.5306808645</v>
      </c>
      <c r="AG77" s="67">
        <v>2881.8612623235999</v>
      </c>
      <c r="AH77" s="67">
        <v>3046.3928355275993</v>
      </c>
      <c r="AI77" s="67">
        <v>2419.3700277994003</v>
      </c>
      <c r="AK77" s="67">
        <f>SUM(D77:G77)</f>
        <v>0</v>
      </c>
      <c r="AL77" s="67">
        <f>SUM(H77:K77)</f>
        <v>1753.749</v>
      </c>
      <c r="AM77" s="67">
        <f>SUM(L77:O77)</f>
        <v>2667.0660000000003</v>
      </c>
      <c r="AN77" s="67">
        <f>SUM(P77:S77)</f>
        <v>2114.3304834205301</v>
      </c>
      <c r="AO77" s="67">
        <f>SUM(T77:W77)</f>
        <v>4757.3620000000001</v>
      </c>
      <c r="AP77" s="67">
        <f>SUM(X77:AA77)</f>
        <v>6355.2009930981003</v>
      </c>
      <c r="AQ77" s="67">
        <f>SUM(AB77:AE77)</f>
        <v>3086.5353171883999</v>
      </c>
      <c r="AR77" s="67">
        <f>SUM(AF77:AI77)</f>
        <v>9695.1548065151001</v>
      </c>
    </row>
    <row r="78" spans="1:46" ht="16.5">
      <c r="B78" s="57" t="s">
        <v>170</v>
      </c>
      <c r="C78" s="57" t="s">
        <v>291</v>
      </c>
      <c r="D78" s="68"/>
      <c r="E78" s="68"/>
      <c r="F78" s="68"/>
      <c r="G78" s="68"/>
      <c r="H78" s="68">
        <f t="shared" ref="H78:AE78" si="153">H77/H72</f>
        <v>7.2719173386559671E-2</v>
      </c>
      <c r="I78" s="68">
        <f t="shared" si="153"/>
        <v>6.4426667679709226E-2</v>
      </c>
      <c r="J78" s="68">
        <f t="shared" si="153"/>
        <v>3.1003902485504008E-2</v>
      </c>
      <c r="K78" s="68">
        <f t="shared" si="153"/>
        <v>1.1693616600301734E-2</v>
      </c>
      <c r="L78" s="68">
        <f t="shared" si="153"/>
        <v>5.0056963994544561E-2</v>
      </c>
      <c r="M78" s="68">
        <f t="shared" si="153"/>
        <v>9.7641927174376669E-2</v>
      </c>
      <c r="N78" s="68">
        <f t="shared" si="153"/>
        <v>6.7111551661173649E-2</v>
      </c>
      <c r="O78" s="68">
        <f t="shared" si="153"/>
        <v>2.5988194984527369E-2</v>
      </c>
      <c r="P78" s="68">
        <f t="shared" si="153"/>
        <v>2.4809438810279371E-2</v>
      </c>
      <c r="Q78" s="68">
        <f t="shared" si="153"/>
        <v>6.8163928650413156E-3</v>
      </c>
      <c r="R78" s="68">
        <f t="shared" si="153"/>
        <v>6.6224973720146921E-2</v>
      </c>
      <c r="S78" s="68">
        <f t="shared" si="153"/>
        <v>3.4301620911800501E-2</v>
      </c>
      <c r="T78" s="68">
        <f t="shared" si="153"/>
        <v>4.8882015560438752E-2</v>
      </c>
      <c r="U78" s="68">
        <f t="shared" si="153"/>
        <v>7.538954746558385E-2</v>
      </c>
      <c r="V78" s="68">
        <f t="shared" si="153"/>
        <v>6.588798551942078E-2</v>
      </c>
      <c r="W78" s="68">
        <f t="shared" si="153"/>
        <v>4.9436104067663481E-2</v>
      </c>
      <c r="X78" s="68">
        <f t="shared" si="153"/>
        <v>9.457716848595174E-2</v>
      </c>
      <c r="Y78" s="68">
        <f t="shared" si="153"/>
        <v>0.11349397124007567</v>
      </c>
      <c r="Z78" s="68">
        <f t="shared" si="153"/>
        <v>8.066255286415383E-2</v>
      </c>
      <c r="AA78" s="68">
        <f t="shared" si="153"/>
        <v>-1.0036155194707127E-2</v>
      </c>
      <c r="AB78" s="68">
        <f t="shared" si="153"/>
        <v>1.350271816444332E-2</v>
      </c>
      <c r="AC78" s="68">
        <f t="shared" si="153"/>
        <v>3.4294324131776459E-2</v>
      </c>
      <c r="AD78" s="68">
        <v>5.1018585032490529E-2</v>
      </c>
      <c r="AE78" s="68">
        <f t="shared" si="153"/>
        <v>4.3676501847385744E-2</v>
      </c>
      <c r="AF78" s="68">
        <f t="shared" ref="AF78:AI78" si="154">AF77/AF72</f>
        <v>6.2427276404846049E-2</v>
      </c>
      <c r="AG78" s="68">
        <f t="shared" si="154"/>
        <v>0.12125164235403431</v>
      </c>
      <c r="AH78" s="68">
        <f t="shared" si="154"/>
        <v>0.11991850796312789</v>
      </c>
      <c r="AI78" s="68">
        <f t="shared" si="154"/>
        <v>9.4796001458218787E-2</v>
      </c>
      <c r="AK78" s="68">
        <f>AK77/AK72</f>
        <v>0</v>
      </c>
      <c r="AL78" s="68">
        <f t="shared" ref="AL78" si="155">AL77/AL72</f>
        <v>4.3974547078832173E-2</v>
      </c>
      <c r="AM78" s="68">
        <f t="shared" ref="AM78" si="156">AM77/AM72</f>
        <v>5.9260417626958314E-2</v>
      </c>
      <c r="AN78" s="68">
        <f t="shared" ref="AN78" si="157">AN77/AN72</f>
        <v>3.397734485798138E-2</v>
      </c>
      <c r="AO78" s="68">
        <f t="shared" ref="AO78" si="158">AO77/AO72</f>
        <v>5.9710630644290504E-2</v>
      </c>
      <c r="AP78" s="68">
        <f>AP77/AP72</f>
        <v>7.0562513379789554E-2</v>
      </c>
      <c r="AQ78" s="68">
        <f>AQ77/AQ72</f>
        <v>3.5637504245411365E-2</v>
      </c>
      <c r="AR78" s="68">
        <f>AR77/AR72</f>
        <v>0.10069861448719873</v>
      </c>
    </row>
    <row r="79" spans="1:46" ht="16.5">
      <c r="B79" s="4"/>
      <c r="C79" s="4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K79" s="51"/>
      <c r="AL79" s="51"/>
      <c r="AM79" s="51"/>
      <c r="AN79" s="51"/>
      <c r="AO79" s="51"/>
      <c r="AP79" s="51"/>
      <c r="AQ79" s="51"/>
      <c r="AR79" s="51"/>
    </row>
    <row r="80" spans="1:46" ht="16.5">
      <c r="B80" s="57" t="s">
        <v>1</v>
      </c>
      <c r="C80" s="57" t="s">
        <v>1</v>
      </c>
      <c r="D80" s="62">
        <v>912.923</v>
      </c>
      <c r="E80" s="62">
        <v>1630.675</v>
      </c>
      <c r="F80" s="62">
        <v>1633.759</v>
      </c>
      <c r="G80" s="62">
        <v>1018.864</v>
      </c>
      <c r="H80" s="62">
        <v>1081.828</v>
      </c>
      <c r="I80" s="62">
        <v>1143.1400000000001</v>
      </c>
      <c r="J80" s="62">
        <v>873.18200000000002</v>
      </c>
      <c r="K80" s="62">
        <v>640.66300000000001</v>
      </c>
      <c r="L80" s="62">
        <v>1122.4649999999999</v>
      </c>
      <c r="M80" s="62">
        <v>1750.5940000000001</v>
      </c>
      <c r="N80" s="62">
        <v>1407.992</v>
      </c>
      <c r="O80" s="62">
        <v>1046.6195665</v>
      </c>
      <c r="P80" s="62">
        <v>1135.03</v>
      </c>
      <c r="Q80" s="62">
        <v>1117.347</v>
      </c>
      <c r="R80" s="62">
        <v>2095.8110000000001</v>
      </c>
      <c r="S80" s="62">
        <v>1606.71981764472</v>
      </c>
      <c r="T80" s="62">
        <v>1916.22645805193</v>
      </c>
      <c r="U80" s="62">
        <v>2517.32237079886</v>
      </c>
      <c r="V80" s="62">
        <v>2361.4</v>
      </c>
      <c r="W80" s="62">
        <v>2314.3085765265696</v>
      </c>
      <c r="X80" s="62">
        <v>3207.5332480002103</v>
      </c>
      <c r="Y80" s="62">
        <v>3635.6928694367903</v>
      </c>
      <c r="Z80" s="62">
        <v>2955.1451563825003</v>
      </c>
      <c r="AA80" s="62">
        <v>892.55468747969996</v>
      </c>
      <c r="AB80" s="62">
        <v>1395.7918413499999</v>
      </c>
      <c r="AC80" s="62">
        <v>1858.4851784436</v>
      </c>
      <c r="AD80" s="62">
        <v>2195.033710656</v>
      </c>
      <c r="AE80" s="62">
        <v>2190.5855984319996</v>
      </c>
      <c r="AF80" s="62">
        <v>2479.6912237250999</v>
      </c>
      <c r="AG80" s="62">
        <v>4083.6480244287995</v>
      </c>
      <c r="AH80" s="62">
        <v>4302.6387901847993</v>
      </c>
      <c r="AI80" s="62">
        <v>3763.2100042628003</v>
      </c>
      <c r="AK80" s="62">
        <f>SUM(D80:G80)</f>
        <v>5196.2209999999995</v>
      </c>
      <c r="AL80" s="62">
        <f>SUM(H80:K80)</f>
        <v>3738.8129999999996</v>
      </c>
      <c r="AM80" s="62">
        <f>SUM(L80:O80)</f>
        <v>5327.6705665000009</v>
      </c>
      <c r="AN80" s="62">
        <f>SUM(P80:S80)</f>
        <v>5954.9078176447201</v>
      </c>
      <c r="AO80" s="62">
        <f>SUM(T80:W80)</f>
        <v>9109.2574053773587</v>
      </c>
      <c r="AP80" s="62">
        <f>SUM(X80:AA80)</f>
        <v>10690.925961299201</v>
      </c>
      <c r="AQ80" s="62">
        <f>SUM(AB80:AE80)</f>
        <v>7639.8963288815994</v>
      </c>
      <c r="AR80" s="62">
        <f>SUM(AF80:AI80)</f>
        <v>14629.1880426015</v>
      </c>
    </row>
    <row r="81" spans="1:44" ht="16.5">
      <c r="B81" s="57" t="s">
        <v>97</v>
      </c>
      <c r="C81" s="57" t="s">
        <v>237</v>
      </c>
      <c r="D81" s="68">
        <f t="shared" ref="D81:AE81" si="159">D80/D72</f>
        <v>0.11513421203406594</v>
      </c>
      <c r="E81" s="68">
        <f t="shared" si="159"/>
        <v>0.18145070656366016</v>
      </c>
      <c r="F81" s="68">
        <f t="shared" si="159"/>
        <v>0.18509917635710516</v>
      </c>
      <c r="G81" s="68">
        <f t="shared" si="159"/>
        <v>0.11859697464013993</v>
      </c>
      <c r="H81" s="68">
        <f t="shared" si="159"/>
        <v>0.121603620002682</v>
      </c>
      <c r="I81" s="68">
        <f t="shared" si="159"/>
        <v>0.11192488498262636</v>
      </c>
      <c r="J81" s="68">
        <f t="shared" si="159"/>
        <v>8.188936117854087E-2</v>
      </c>
      <c r="K81" s="68">
        <f t="shared" si="159"/>
        <v>6.3380209235030793E-2</v>
      </c>
      <c r="L81" s="68">
        <f t="shared" si="159"/>
        <v>0.10941151631837141</v>
      </c>
      <c r="M81" s="68">
        <f t="shared" si="159"/>
        <v>0.15733133647254133</v>
      </c>
      <c r="N81" s="68">
        <f t="shared" si="159"/>
        <v>0.1277487110508253</v>
      </c>
      <c r="O81" s="68">
        <f t="shared" si="159"/>
        <v>8.3075765690080322E-2</v>
      </c>
      <c r="P81" s="68">
        <f t="shared" si="159"/>
        <v>8.2904105930970973E-2</v>
      </c>
      <c r="Q81" s="68">
        <f t="shared" si="159"/>
        <v>7.3500570521465691E-2</v>
      </c>
      <c r="R81" s="68">
        <f t="shared" si="159"/>
        <v>0.12680958193294231</v>
      </c>
      <c r="S81" s="68">
        <f t="shared" si="159"/>
        <v>9.5594465429805042E-2</v>
      </c>
      <c r="T81" s="68">
        <f t="shared" si="159"/>
        <v>0.10706424784465506</v>
      </c>
      <c r="U81" s="68">
        <f t="shared" si="159"/>
        <v>0.13079683211873919</v>
      </c>
      <c r="V81" s="68">
        <f t="shared" si="159"/>
        <v>0.11807472298891955</v>
      </c>
      <c r="W81" s="68">
        <f t="shared" si="159"/>
        <v>0.10271911536162427</v>
      </c>
      <c r="X81" s="68">
        <f t="shared" si="159"/>
        <v>0.1446572214266231</v>
      </c>
      <c r="Y81" s="68">
        <f t="shared" si="159"/>
        <v>0.15963523833215001</v>
      </c>
      <c r="Z81" s="68">
        <f t="shared" si="159"/>
        <v>0.12606666062025035</v>
      </c>
      <c r="AA81" s="68">
        <f t="shared" si="159"/>
        <v>4.1178303542661228E-2</v>
      </c>
      <c r="AB81" s="68">
        <f t="shared" si="159"/>
        <v>6.4558369586938086E-2</v>
      </c>
      <c r="AC81" s="68">
        <f t="shared" si="159"/>
        <v>8.7192790624465846E-2</v>
      </c>
      <c r="AD81" s="68">
        <v>0.10324044832476052</v>
      </c>
      <c r="AE81" s="68">
        <f t="shared" si="159"/>
        <v>9.7739320434639829E-2</v>
      </c>
      <c r="AF81" s="68">
        <f t="shared" ref="AF81:AH81" si="160">AF80/AF72</f>
        <v>0.11487706485676936</v>
      </c>
      <c r="AG81" s="68">
        <f t="shared" si="160"/>
        <v>0.17181570682502897</v>
      </c>
      <c r="AH81" s="68">
        <f t="shared" si="160"/>
        <v>0.16936949759267653</v>
      </c>
      <c r="AI81" s="68">
        <f>AI80/AI72</f>
        <v>0.14745047551744678</v>
      </c>
      <c r="AK81" s="68">
        <f>AK80/AK72</f>
        <v>0.15134568876383819</v>
      </c>
      <c r="AL81" s="68">
        <f t="shared" ref="AL81" si="161">AL80/AL72</f>
        <v>9.3749224254696506E-2</v>
      </c>
      <c r="AM81" s="68">
        <f t="shared" ref="AM81" si="162">AM80/AM72</f>
        <v>0.11837726653545266</v>
      </c>
      <c r="AN81" s="68">
        <f t="shared" ref="AN81" si="163">AN80/AN72</f>
        <v>9.5695520688078323E-2</v>
      </c>
      <c r="AO81" s="68">
        <f t="shared" ref="AO81" si="164">AO80/AO72</f>
        <v>0.11433216651922967</v>
      </c>
      <c r="AP81" s="68">
        <f>AP80/AP72</f>
        <v>0.1187025566942395</v>
      </c>
      <c r="AQ81" s="68">
        <f>AQ80/AQ72</f>
        <v>8.8211152595213185E-2</v>
      </c>
      <c r="AR81" s="68">
        <f>AR80/AR72</f>
        <v>0.15194589424943716</v>
      </c>
    </row>
    <row r="83" spans="1:44" s="4" customFormat="1" ht="16.5">
      <c r="A83"/>
      <c r="B83" s="6" t="s">
        <v>430</v>
      </c>
      <c r="C83" s="149" t="s">
        <v>426</v>
      </c>
      <c r="D83" s="7" t="s">
        <v>401</v>
      </c>
      <c r="E83" s="8" t="s">
        <v>402</v>
      </c>
      <c r="F83" s="7" t="s">
        <v>403</v>
      </c>
      <c r="G83" s="7" t="s">
        <v>404</v>
      </c>
      <c r="H83" s="7" t="s">
        <v>405</v>
      </c>
      <c r="I83" s="8" t="s">
        <v>406</v>
      </c>
      <c r="J83" s="8" t="s">
        <v>407</v>
      </c>
      <c r="K83" s="8" t="s">
        <v>408</v>
      </c>
      <c r="L83" s="8" t="s">
        <v>409</v>
      </c>
      <c r="M83" s="8" t="s">
        <v>410</v>
      </c>
      <c r="N83" s="8" t="s">
        <v>411</v>
      </c>
      <c r="O83" s="8" t="s">
        <v>412</v>
      </c>
      <c r="P83" s="8" t="s">
        <v>413</v>
      </c>
      <c r="Q83" s="8" t="s">
        <v>414</v>
      </c>
      <c r="R83" s="8" t="s">
        <v>415</v>
      </c>
      <c r="S83" s="17" t="s">
        <v>416</v>
      </c>
      <c r="T83" s="17" t="s">
        <v>417</v>
      </c>
      <c r="U83" s="17" t="s">
        <v>418</v>
      </c>
      <c r="V83" s="17" t="s">
        <v>419</v>
      </c>
      <c r="W83" s="17" t="s">
        <v>425</v>
      </c>
      <c r="X83" s="17" t="s">
        <v>420</v>
      </c>
      <c r="Y83" s="17" t="s">
        <v>421</v>
      </c>
      <c r="Z83" s="17" t="s">
        <v>422</v>
      </c>
      <c r="AA83" s="17" t="s">
        <v>423</v>
      </c>
      <c r="AB83" s="17" t="s">
        <v>424</v>
      </c>
      <c r="AC83" s="17" t="s">
        <v>400</v>
      </c>
      <c r="AD83" s="17" t="s">
        <v>429</v>
      </c>
      <c r="AE83" s="17" t="str">
        <f>AE5</f>
        <v>4Q23</v>
      </c>
      <c r="AF83" s="17" t="str">
        <f>AF5</f>
        <v>1Q24</v>
      </c>
      <c r="AG83" s="17" t="str">
        <f>AG5</f>
        <v>2Q24</v>
      </c>
      <c r="AH83" s="17" t="s">
        <v>442</v>
      </c>
      <c r="AI83" s="17" t="str">
        <f>AI70</f>
        <v>4Q24</v>
      </c>
      <c r="AK83" s="17" t="str">
        <f>'Results - BU - US GAAP'!AK44</f>
        <v>2017</v>
      </c>
      <c r="AL83" s="17" t="str">
        <f>'Results - BU - US GAAP'!AL44</f>
        <v>2018</v>
      </c>
      <c r="AM83" s="17" t="str">
        <f>'Results - BU - US GAAP'!AM44</f>
        <v>2019</v>
      </c>
      <c r="AN83" s="17" t="str">
        <f>'Results - BU - US GAAP'!AN44</f>
        <v>2020</v>
      </c>
      <c r="AO83" s="17" t="str">
        <f>'Results - BU - US GAAP'!AO44</f>
        <v>2021</v>
      </c>
      <c r="AP83" s="17" t="str">
        <f>'Results - BU - US GAAP'!AP44</f>
        <v>2022</v>
      </c>
      <c r="AQ83" s="7">
        <f>AQ5</f>
        <v>2023</v>
      </c>
      <c r="AR83" s="7">
        <f>AR5</f>
        <v>2024</v>
      </c>
    </row>
    <row r="84" spans="1:44" s="4" customFormat="1" ht="16.5">
      <c r="A84"/>
    </row>
    <row r="85" spans="1:44" s="4" customFormat="1" ht="16.5">
      <c r="A85"/>
      <c r="B85" s="57" t="s">
        <v>78</v>
      </c>
      <c r="C85" s="57" t="s">
        <v>239</v>
      </c>
      <c r="D85" s="60">
        <v>0</v>
      </c>
      <c r="E85" s="60">
        <v>0</v>
      </c>
      <c r="F85" s="60">
        <v>0</v>
      </c>
      <c r="G85" s="60">
        <v>-1164.3599999999999</v>
      </c>
      <c r="H85" s="60">
        <v>-1105.5</v>
      </c>
      <c r="I85" s="60">
        <v>-1333.3679999999999</v>
      </c>
      <c r="J85" s="60">
        <v>-1442.1310000000001</v>
      </c>
      <c r="K85" s="60">
        <v>-1411.299</v>
      </c>
      <c r="L85" s="60">
        <v>-1363.97</v>
      </c>
      <c r="M85" s="60">
        <v>-1398.644</v>
      </c>
      <c r="N85" s="60">
        <v>-1554.075</v>
      </c>
      <c r="O85" s="60">
        <v>-1590.3913458719501</v>
      </c>
      <c r="P85" s="60">
        <v>-1501.31</v>
      </c>
      <c r="Q85" s="60">
        <v>-1904.62</v>
      </c>
      <c r="R85" s="60">
        <v>-2131.0540000000001</v>
      </c>
      <c r="S85" s="60">
        <v>-2115.7601183091901</v>
      </c>
      <c r="T85" s="60">
        <v>-1655.7669775352399</v>
      </c>
      <c r="U85" s="60">
        <v>-2154.3378371172503</v>
      </c>
      <c r="V85" s="60">
        <v>-2301.1364716461399</v>
      </c>
      <c r="W85" s="60">
        <v>-2592.3449999999998</v>
      </c>
      <c r="X85" s="60">
        <v>-2474.6452456296852</v>
      </c>
      <c r="Y85" s="60">
        <v>-2330.33338955101</v>
      </c>
      <c r="Z85" s="60">
        <v>-2758.8510000000001</v>
      </c>
      <c r="AA85" s="60">
        <v>-2602.8151916931806</v>
      </c>
      <c r="AB85" s="60">
        <v>-2730.8546664538749</v>
      </c>
      <c r="AC85" s="60">
        <v>-2540.5416805346076</v>
      </c>
      <c r="AD85" s="60">
        <v>-1820.1216495360284</v>
      </c>
      <c r="AE85" s="60">
        <v>-2730.1214581517083</v>
      </c>
      <c r="AF85" s="60">
        <v>-2073.6201300145703</v>
      </c>
      <c r="AG85" s="60">
        <v>-1962.34</v>
      </c>
      <c r="AH85" s="60">
        <v>-2202.8354929999996</v>
      </c>
      <c r="AI85" s="60">
        <v>-2508.192356</v>
      </c>
      <c r="AK85" s="60">
        <f>SUM(D85:G85)</f>
        <v>-1164.3599999999999</v>
      </c>
      <c r="AL85" s="60">
        <f>SUM(H85:K85)</f>
        <v>-5292.2979999999998</v>
      </c>
      <c r="AM85" s="60">
        <f>SUM(L85:O85)</f>
        <v>-5907.0803458719502</v>
      </c>
      <c r="AN85" s="60">
        <f>SUM(P85:S85)</f>
        <v>-7652.7441183091905</v>
      </c>
      <c r="AO85" s="60">
        <f>SUM(T85:W85)</f>
        <v>-8703.5862862986287</v>
      </c>
      <c r="AP85" s="60">
        <f>SUM(X85:AA85)</f>
        <v>-10166.644826873875</v>
      </c>
      <c r="AQ85" s="67">
        <f>SUM(AB85:AE85)</f>
        <v>-9821.6394546762185</v>
      </c>
      <c r="AR85" s="67">
        <f>SUM(AF85:AI85)</f>
        <v>-8746.9879790145696</v>
      </c>
    </row>
    <row r="86" spans="1:44" s="9" customFormat="1" ht="16.5">
      <c r="A86"/>
      <c r="B86" s="9" t="s">
        <v>168</v>
      </c>
      <c r="C86" s="9" t="s">
        <v>318</v>
      </c>
      <c r="D86" s="10">
        <v>0</v>
      </c>
      <c r="E86" s="10">
        <v>0</v>
      </c>
      <c r="F86" s="10">
        <v>0</v>
      </c>
      <c r="G86" s="10">
        <v>1164.3599999999999</v>
      </c>
      <c r="H86" s="10">
        <v>1105.5</v>
      </c>
      <c r="I86" s="10">
        <v>1333.3679999999999</v>
      </c>
      <c r="J86" s="10">
        <v>1442.1310000000001</v>
      </c>
      <c r="K86" s="10">
        <v>1411.299</v>
      </c>
      <c r="L86" s="10">
        <v>1363.97</v>
      </c>
      <c r="M86" s="10">
        <v>1398.644</v>
      </c>
      <c r="N86" s="10">
        <v>1554.075</v>
      </c>
      <c r="O86" s="10">
        <v>1590.3923458719501</v>
      </c>
      <c r="P86" s="10">
        <v>1501.31</v>
      </c>
      <c r="Q86" s="10">
        <v>1904.62</v>
      </c>
      <c r="R86" s="10">
        <v>2131.0540000000001</v>
      </c>
      <c r="S86" s="10">
        <v>2115.7601183091901</v>
      </c>
      <c r="T86" s="10">
        <v>2079.9489775352426</v>
      </c>
      <c r="U86" s="10">
        <v>2665.8923371172491</v>
      </c>
      <c r="V86" s="10">
        <v>2935.6819716461355</v>
      </c>
      <c r="W86" s="10">
        <v>3141.25878518836</v>
      </c>
      <c r="X86" s="10">
        <v>2474.6448456296853</v>
      </c>
      <c r="Y86" s="10">
        <v>2330.3722763766114</v>
      </c>
      <c r="Z86" s="10">
        <v>2758.8510000000001</v>
      </c>
      <c r="AA86" s="10">
        <v>2602.8151916931806</v>
      </c>
      <c r="AB86" s="10">
        <v>2730.8546664538749</v>
      </c>
      <c r="AC86" s="10">
        <v>2540.5416805346076</v>
      </c>
      <c r="AD86" s="10">
        <v>1820.1216495360284</v>
      </c>
      <c r="AE86" s="10">
        <v>2730.1214581517083</v>
      </c>
      <c r="AF86" s="10">
        <v>2073.6201300145703</v>
      </c>
      <c r="AG86" s="10">
        <v>1962.3400800000002</v>
      </c>
      <c r="AH86" s="10">
        <v>2202.851079</v>
      </c>
      <c r="AI86" s="10">
        <v>2508.2026080000001</v>
      </c>
      <c r="AK86" s="10">
        <f>SUM(D86:G86)</f>
        <v>1164.3599999999999</v>
      </c>
      <c r="AL86" s="10">
        <f>SUM(H86:K86)</f>
        <v>5292.2979999999998</v>
      </c>
      <c r="AM86" s="10">
        <f>SUM(L86:O86)</f>
        <v>5907.0813458719504</v>
      </c>
      <c r="AN86" s="10">
        <f>SUM(P86:S86)</f>
        <v>7652.7441183091905</v>
      </c>
      <c r="AO86" s="10">
        <f>SUM(T86:W86)</f>
        <v>10822.782071486987</v>
      </c>
      <c r="AP86" s="10">
        <f>SUM(X86:AA86)</f>
        <v>10166.683313699477</v>
      </c>
      <c r="AQ86" s="50">
        <f>SUM(AB86:AE86)</f>
        <v>9821.6394546762185</v>
      </c>
      <c r="AR86" s="50">
        <f>SUM(AF86:AI86)</f>
        <v>8747.0138970145708</v>
      </c>
    </row>
    <row r="87" spans="1:44" s="4" customFormat="1" ht="16.5">
      <c r="A87"/>
      <c r="B87" s="57" t="s">
        <v>80</v>
      </c>
      <c r="C87" s="57" t="s">
        <v>319</v>
      </c>
      <c r="D87" s="56">
        <f t="shared" ref="D87:AD87" si="165">SUM(D85:D86)</f>
        <v>0</v>
      </c>
      <c r="E87" s="56">
        <f t="shared" si="165"/>
        <v>0</v>
      </c>
      <c r="F87" s="56">
        <f t="shared" si="165"/>
        <v>0</v>
      </c>
      <c r="G87" s="56">
        <f t="shared" si="165"/>
        <v>0</v>
      </c>
      <c r="H87" s="56">
        <f t="shared" si="165"/>
        <v>0</v>
      </c>
      <c r="I87" s="56">
        <f t="shared" si="165"/>
        <v>0</v>
      </c>
      <c r="J87" s="56">
        <f t="shared" si="165"/>
        <v>0</v>
      </c>
      <c r="K87" s="56">
        <f t="shared" si="165"/>
        <v>0</v>
      </c>
      <c r="L87" s="56">
        <f t="shared" si="165"/>
        <v>0</v>
      </c>
      <c r="M87" s="56">
        <f t="shared" si="165"/>
        <v>0</v>
      </c>
      <c r="N87" s="56">
        <f t="shared" si="165"/>
        <v>0</v>
      </c>
      <c r="O87" s="56">
        <f t="shared" si="165"/>
        <v>9.9999999997635314E-4</v>
      </c>
      <c r="P87" s="56">
        <f t="shared" si="165"/>
        <v>0</v>
      </c>
      <c r="Q87" s="56">
        <f t="shared" si="165"/>
        <v>0</v>
      </c>
      <c r="R87" s="56">
        <f t="shared" si="165"/>
        <v>0</v>
      </c>
      <c r="S87" s="56">
        <f t="shared" si="165"/>
        <v>0</v>
      </c>
      <c r="T87" s="56">
        <f t="shared" si="165"/>
        <v>424.18200000000274</v>
      </c>
      <c r="U87" s="56">
        <f t="shared" si="165"/>
        <v>511.55449999999882</v>
      </c>
      <c r="V87" s="56">
        <f t="shared" si="165"/>
        <v>634.54549999999563</v>
      </c>
      <c r="W87" s="56">
        <f t="shared" si="165"/>
        <v>548.91378518836018</v>
      </c>
      <c r="X87" s="56">
        <f t="shared" si="165"/>
        <v>-3.9999999989959178E-4</v>
      </c>
      <c r="Y87" s="56">
        <f t="shared" si="165"/>
        <v>3.8886825601366581E-2</v>
      </c>
      <c r="Z87" s="56">
        <f t="shared" si="165"/>
        <v>0</v>
      </c>
      <c r="AA87" s="56">
        <f t="shared" si="165"/>
        <v>0</v>
      </c>
      <c r="AB87" s="56">
        <f t="shared" si="165"/>
        <v>0</v>
      </c>
      <c r="AC87" s="56">
        <f t="shared" si="165"/>
        <v>0</v>
      </c>
      <c r="AD87" s="56">
        <f t="shared" si="165"/>
        <v>0</v>
      </c>
      <c r="AE87" s="56">
        <f>SUM(AE85:AE86)</f>
        <v>0</v>
      </c>
      <c r="AF87" s="56">
        <f>SUM(AF85:AF86)</f>
        <v>0</v>
      </c>
      <c r="AG87" s="56">
        <f>SUM(AG85:AG86)</f>
        <v>8.0000000252766768E-5</v>
      </c>
      <c r="AH87" s="56">
        <f>SUM(AH85:AH86)</f>
        <v>1.5586000000439526E-2</v>
      </c>
      <c r="AI87" s="56">
        <f>SUM(AI85:AI86)</f>
        <v>1.0252000000036787E-2</v>
      </c>
      <c r="AK87" s="56">
        <f t="shared" ref="AK87:AP87" si="166">SUM(AK85:AK86)</f>
        <v>0</v>
      </c>
      <c r="AL87" s="56">
        <f t="shared" si="166"/>
        <v>0</v>
      </c>
      <c r="AM87" s="56">
        <f t="shared" si="166"/>
        <v>1.0000000002037268E-3</v>
      </c>
      <c r="AN87" s="56">
        <f t="shared" si="166"/>
        <v>0</v>
      </c>
      <c r="AO87" s="56">
        <f t="shared" si="166"/>
        <v>2119.1957851883581</v>
      </c>
      <c r="AP87" s="56">
        <f t="shared" si="166"/>
        <v>3.8486825602376484E-2</v>
      </c>
      <c r="AQ87" s="62">
        <f>SUM(AB87:AE87)</f>
        <v>0</v>
      </c>
      <c r="AR87" s="62">
        <f>SUM(AF87:AI87)</f>
        <v>2.591800000072908E-2</v>
      </c>
    </row>
    <row r="88" spans="1:44" s="4" customFormat="1" ht="16.5">
      <c r="A88"/>
      <c r="B88" s="57" t="s">
        <v>169</v>
      </c>
      <c r="C88" s="57" t="s">
        <v>290</v>
      </c>
      <c r="D88" s="69">
        <v>0</v>
      </c>
      <c r="E88" s="69">
        <v>0</v>
      </c>
      <c r="F88" s="69">
        <v>0</v>
      </c>
      <c r="G88" s="69">
        <f>G87/G85</f>
        <v>0</v>
      </c>
      <c r="H88" s="69">
        <f t="shared" ref="H88:AE88" si="167">H87/H85</f>
        <v>0</v>
      </c>
      <c r="I88" s="69">
        <f t="shared" si="167"/>
        <v>0</v>
      </c>
      <c r="J88" s="69">
        <f t="shared" si="167"/>
        <v>0</v>
      </c>
      <c r="K88" s="69">
        <f t="shared" si="167"/>
        <v>0</v>
      </c>
      <c r="L88" s="69">
        <f t="shared" si="167"/>
        <v>0</v>
      </c>
      <c r="M88" s="69">
        <f t="shared" si="167"/>
        <v>0</v>
      </c>
      <c r="N88" s="69">
        <f t="shared" si="167"/>
        <v>0</v>
      </c>
      <c r="O88" s="69">
        <f t="shared" si="167"/>
        <v>-6.2877605727167225E-7</v>
      </c>
      <c r="P88" s="69">
        <f t="shared" si="167"/>
        <v>0</v>
      </c>
      <c r="Q88" s="69">
        <f t="shared" si="167"/>
        <v>0</v>
      </c>
      <c r="R88" s="69">
        <f t="shared" si="167"/>
        <v>0</v>
      </c>
      <c r="S88" s="69">
        <f t="shared" si="167"/>
        <v>0</v>
      </c>
      <c r="T88" s="69">
        <f t="shared" si="167"/>
        <v>-0.25618459949686662</v>
      </c>
      <c r="U88" s="69">
        <f t="shared" si="167"/>
        <v>-0.23745324024226261</v>
      </c>
      <c r="V88" s="69">
        <f t="shared" si="167"/>
        <v>-0.27575309322965424</v>
      </c>
      <c r="W88" s="69">
        <f t="shared" si="167"/>
        <v>-0.21174411013517114</v>
      </c>
      <c r="X88" s="69">
        <f t="shared" si="167"/>
        <v>1.6163933016500307E-7</v>
      </c>
      <c r="Y88" s="69">
        <f t="shared" si="167"/>
        <v>-1.668723701755781E-5</v>
      </c>
      <c r="Z88" s="69">
        <f t="shared" si="167"/>
        <v>0</v>
      </c>
      <c r="AA88" s="69">
        <f t="shared" si="167"/>
        <v>0</v>
      </c>
      <c r="AB88" s="69">
        <f t="shared" si="167"/>
        <v>0</v>
      </c>
      <c r="AC88" s="69">
        <f t="shared" si="167"/>
        <v>0</v>
      </c>
      <c r="AD88" s="69">
        <v>0</v>
      </c>
      <c r="AE88" s="69">
        <f t="shared" si="167"/>
        <v>0</v>
      </c>
      <c r="AF88" s="69">
        <f t="shared" ref="AF88:AH88" si="168">AF87/AF85</f>
        <v>0</v>
      </c>
      <c r="AG88" s="69">
        <f t="shared" si="168"/>
        <v>-4.0767655071377419E-8</v>
      </c>
      <c r="AH88" s="69">
        <f t="shared" si="168"/>
        <v>-7.0754262176942E-6</v>
      </c>
      <c r="AI88" s="69">
        <f t="shared" ref="AI88" si="169">AI87/AI85</f>
        <v>-4.0874058066209922E-6</v>
      </c>
      <c r="AK88" s="69">
        <f t="shared" ref="AK88:AP88" si="170">IFERROR(AK87/AK85,0)</f>
        <v>0</v>
      </c>
      <c r="AL88" s="69">
        <f t="shared" si="170"/>
        <v>0</v>
      </c>
      <c r="AM88" s="69">
        <f t="shared" si="170"/>
        <v>-1.6928836949078536E-7</v>
      </c>
      <c r="AN88" s="69">
        <f t="shared" si="170"/>
        <v>0</v>
      </c>
      <c r="AO88" s="69">
        <f t="shared" si="170"/>
        <v>-0.24348535367822358</v>
      </c>
      <c r="AP88" s="69">
        <f t="shared" si="170"/>
        <v>-3.7855975356435005E-6</v>
      </c>
      <c r="AQ88" s="68">
        <f>AQ87/AQ85</f>
        <v>0</v>
      </c>
      <c r="AR88" s="68">
        <f>AR87/AR85</f>
        <v>-2.9630771258529825E-6</v>
      </c>
    </row>
    <row r="89" spans="1:44" s="4" customFormat="1" ht="16.5">
      <c r="A89"/>
      <c r="B89" s="2"/>
      <c r="C89" s="2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K89" s="28"/>
      <c r="AL89" s="28"/>
      <c r="AM89" s="28"/>
      <c r="AN89" s="28"/>
      <c r="AO89" s="28"/>
      <c r="AP89" s="28"/>
      <c r="AQ89" s="51"/>
      <c r="AR89" s="51"/>
    </row>
    <row r="90" spans="1:44" ht="16.5">
      <c r="B90" s="57" t="s">
        <v>0</v>
      </c>
      <c r="C90" s="57" t="s">
        <v>0</v>
      </c>
      <c r="D90" s="147"/>
      <c r="E90" s="147"/>
      <c r="F90" s="147"/>
      <c r="G90" s="147"/>
      <c r="H90" s="67">
        <v>0</v>
      </c>
      <c r="I90" s="67">
        <v>0</v>
      </c>
      <c r="J90" s="67">
        <v>0</v>
      </c>
      <c r="K90" s="67">
        <v>0</v>
      </c>
      <c r="L90" s="67">
        <v>-0.54200000000000004</v>
      </c>
      <c r="M90" s="67">
        <v>-0.92900000000000005</v>
      </c>
      <c r="N90" s="67">
        <v>-0.45300000000000001</v>
      </c>
      <c r="O90" s="67">
        <v>0.627110030008316</v>
      </c>
      <c r="P90" s="67">
        <v>1.2470000000000001</v>
      </c>
      <c r="Q90" s="67">
        <v>-2.1520000000000001</v>
      </c>
      <c r="R90" s="67">
        <v>-0.45270611999988547</v>
      </c>
      <c r="S90" s="67">
        <v>-0.45256872995281217</v>
      </c>
      <c r="T90" s="67">
        <v>-0.45256871998786924</v>
      </c>
      <c r="U90" s="67">
        <v>-0.45256872001457216</v>
      </c>
      <c r="V90" s="67">
        <v>-0.45356872000122062</v>
      </c>
      <c r="W90" s="67">
        <v>-0.45356872000122062</v>
      </c>
      <c r="X90" s="67">
        <v>-0.45256872000122067</v>
      </c>
      <c r="Y90" s="67">
        <v>-0.45056872006225585</v>
      </c>
      <c r="Z90" s="67">
        <v>-0.4525686000000001</v>
      </c>
      <c r="AA90" s="67">
        <v>-0.20192566000000001</v>
      </c>
      <c r="AB90" s="67">
        <v>-0.20092566000000001</v>
      </c>
      <c r="AC90" s="67">
        <v>-0.20092566000000001</v>
      </c>
      <c r="AD90" s="67">
        <v>-0.20092566000000001</v>
      </c>
      <c r="AE90" s="67">
        <v>-0.95353666000000004</v>
      </c>
      <c r="AF90" s="67">
        <v>-0.29722610999999999</v>
      </c>
      <c r="AG90" s="67">
        <v>-0.29722610999999999</v>
      </c>
      <c r="AH90" s="67">
        <v>0</v>
      </c>
      <c r="AI90" s="67">
        <v>0</v>
      </c>
      <c r="AK90" s="67"/>
      <c r="AL90" s="67"/>
      <c r="AM90" s="67"/>
      <c r="AN90" s="67"/>
      <c r="AO90" s="67">
        <f>SUM(T90:W90)</f>
        <v>-1.8122748800048827</v>
      </c>
      <c r="AP90" s="67">
        <f>SUM(X90:AA90)</f>
        <v>-1.5576317000634767</v>
      </c>
      <c r="AQ90" s="67">
        <f>SUM(AB90:AE90)</f>
        <v>-1.5563136399999999</v>
      </c>
      <c r="AR90" s="67">
        <f>SUM(AF90:AI90)</f>
        <v>-0.59445221999999998</v>
      </c>
    </row>
    <row r="91" spans="1:44" s="4" customFormat="1" ht="16.5">
      <c r="A91"/>
      <c r="B91" s="57" t="s">
        <v>170</v>
      </c>
      <c r="C91" s="57" t="s">
        <v>291</v>
      </c>
      <c r="D91" s="69"/>
      <c r="E91" s="69"/>
      <c r="F91" s="69"/>
      <c r="G91" s="69"/>
      <c r="H91" s="69">
        <f t="shared" ref="H91:AE91" si="171">H90/H85</f>
        <v>0</v>
      </c>
      <c r="I91" s="69">
        <f t="shared" si="171"/>
        <v>0</v>
      </c>
      <c r="J91" s="69">
        <f t="shared" si="171"/>
        <v>0</v>
      </c>
      <c r="K91" s="69">
        <f t="shared" si="171"/>
        <v>0</v>
      </c>
      <c r="L91" s="69">
        <f t="shared" si="171"/>
        <v>3.9736944360946357E-4</v>
      </c>
      <c r="M91" s="69">
        <f t="shared" si="171"/>
        <v>6.642147680181662E-4</v>
      </c>
      <c r="N91" s="69">
        <f t="shared" si="171"/>
        <v>2.9149172337242409E-4</v>
      </c>
      <c r="O91" s="69">
        <f t="shared" si="171"/>
        <v>-3.9431177215347321E-4</v>
      </c>
      <c r="P91" s="69">
        <f t="shared" si="171"/>
        <v>-8.3060793573612392E-4</v>
      </c>
      <c r="Q91" s="69">
        <f t="shared" si="171"/>
        <v>1.1298841763711398E-3</v>
      </c>
      <c r="R91" s="69">
        <f t="shared" si="171"/>
        <v>2.1243296509609115E-4</v>
      </c>
      <c r="S91" s="69">
        <f t="shared" si="171"/>
        <v>2.1390361130092691E-4</v>
      </c>
      <c r="T91" s="69">
        <f t="shared" si="171"/>
        <v>2.7332875104295112E-4</v>
      </c>
      <c r="U91" s="69">
        <f t="shared" si="171"/>
        <v>2.1007323559807162E-4</v>
      </c>
      <c r="V91" s="69">
        <f t="shared" si="171"/>
        <v>1.9710639746488217E-4</v>
      </c>
      <c r="W91" s="69">
        <f t="shared" si="171"/>
        <v>1.7496464398111388E-4</v>
      </c>
      <c r="X91" s="69">
        <f t="shared" si="171"/>
        <v>1.8288226193248253E-4</v>
      </c>
      <c r="Y91" s="69">
        <f t="shared" si="171"/>
        <v>1.9334946754080874E-4</v>
      </c>
      <c r="Z91" s="69">
        <f t="shared" si="171"/>
        <v>1.6404242200829261E-4</v>
      </c>
      <c r="AA91" s="69">
        <f t="shared" si="171"/>
        <v>7.7579714704463333E-5</v>
      </c>
      <c r="AB91" s="69">
        <f t="shared" si="171"/>
        <v>7.3576108779494325E-5</v>
      </c>
      <c r="AC91" s="69">
        <f t="shared" si="171"/>
        <v>7.9087724298905856E-5</v>
      </c>
      <c r="AD91" s="69">
        <v>1.1039133568419367E-4</v>
      </c>
      <c r="AE91" s="69">
        <f t="shared" si="171"/>
        <v>3.4926528896833187E-4</v>
      </c>
      <c r="AF91" s="69">
        <f t="shared" ref="AF91:AI91" si="172">AF90/AF85</f>
        <v>1.4333681743237684E-4</v>
      </c>
      <c r="AG91" s="69">
        <f t="shared" si="172"/>
        <v>1.5146514365502412E-4</v>
      </c>
      <c r="AH91" s="69">
        <f t="shared" si="172"/>
        <v>0</v>
      </c>
      <c r="AI91" s="69">
        <f t="shared" si="172"/>
        <v>0</v>
      </c>
      <c r="AK91" s="69"/>
      <c r="AL91" s="69"/>
      <c r="AM91" s="69"/>
      <c r="AN91" s="69"/>
      <c r="AO91" s="68">
        <f>AO90/AO85</f>
        <v>2.0822162501655259E-4</v>
      </c>
      <c r="AP91" s="68">
        <f>AP90/AP85</f>
        <v>1.5321000453818651E-4</v>
      </c>
      <c r="AQ91" s="68">
        <f>AQ90/AQ85</f>
        <v>1.5845762280135598E-4</v>
      </c>
      <c r="AR91" s="68">
        <f>AR90/AR85</f>
        <v>6.7960790780344777E-5</v>
      </c>
    </row>
    <row r="92" spans="1:44" s="4" customFormat="1" ht="16.5">
      <c r="A92"/>
      <c r="B92" s="2"/>
      <c r="C92" s="2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K92" s="28"/>
      <c r="AL92" s="28"/>
      <c r="AM92" s="28"/>
      <c r="AN92" s="28"/>
      <c r="AO92" s="28"/>
      <c r="AP92" s="28"/>
      <c r="AQ92" s="51"/>
      <c r="AR92" s="51"/>
    </row>
    <row r="93" spans="1:44" s="4" customFormat="1" ht="16.5">
      <c r="A93"/>
      <c r="B93" s="57" t="s">
        <v>1</v>
      </c>
      <c r="C93" s="57" t="s">
        <v>1</v>
      </c>
      <c r="D93" s="60">
        <v>0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-2.085</v>
      </c>
      <c r="M93" s="60">
        <v>-2.7149999999999999</v>
      </c>
      <c r="N93" s="60">
        <v>-2.7389999999999999</v>
      </c>
      <c r="O93" s="60">
        <v>-1.65874216999168</v>
      </c>
      <c r="P93" s="60">
        <v>-1.0389999999999999</v>
      </c>
      <c r="Q93" s="60">
        <v>-4.4379999999999997</v>
      </c>
      <c r="R93" s="60">
        <v>-2.7389999999999999</v>
      </c>
      <c r="S93" s="60">
        <v>-2.73862953995281</v>
      </c>
      <c r="T93" s="60">
        <v>-2.7386295299878691</v>
      </c>
      <c r="U93" s="60">
        <v>-2.7386295300145722</v>
      </c>
      <c r="V93" s="60">
        <v>-2.7396295300012206</v>
      </c>
      <c r="W93" s="60">
        <v>-2.7409295400012201</v>
      </c>
      <c r="X93" s="60">
        <v>-2.7386295300012207</v>
      </c>
      <c r="Y93" s="60">
        <v>-2.7336295300622564</v>
      </c>
      <c r="Z93" s="60">
        <v>-2.7386295499999997</v>
      </c>
      <c r="AA93" s="60">
        <v>-3.0126000000000004</v>
      </c>
      <c r="AB93" s="60">
        <v>-3.0110999999999999</v>
      </c>
      <c r="AC93" s="60">
        <v>-3.0110999999999999</v>
      </c>
      <c r="AD93" s="60">
        <v>-3.0110999999999999</v>
      </c>
      <c r="AE93" s="60">
        <v>-3.8493447199999999</v>
      </c>
      <c r="AF93" s="60">
        <v>-3.3643016100000001</v>
      </c>
      <c r="AG93" s="60">
        <v>-3.3643016100000001</v>
      </c>
      <c r="AH93" s="60">
        <v>0</v>
      </c>
      <c r="AI93" s="60">
        <v>-1E-3</v>
      </c>
      <c r="AK93" s="56">
        <f>SUM(D93:G93)</f>
        <v>0</v>
      </c>
      <c r="AL93" s="56">
        <f>SUM(H93:K93)</f>
        <v>0</v>
      </c>
      <c r="AM93" s="56">
        <f>SUM(L93:O93)</f>
        <v>-9.1977421699916793</v>
      </c>
      <c r="AN93" s="56">
        <f>SUM(P93:S93)</f>
        <v>-10.954629539952808</v>
      </c>
      <c r="AO93" s="56">
        <f>SUM(T93:W93)</f>
        <v>-10.957818130004883</v>
      </c>
      <c r="AP93" s="56">
        <f>SUM(X93:AA93)</f>
        <v>-11.223488610063479</v>
      </c>
      <c r="AQ93" s="56">
        <f>SUM(AB93:AE93)</f>
        <v>-12.88264472</v>
      </c>
      <c r="AR93" s="62">
        <f>SUM(AF93:AI93)</f>
        <v>-6.7296032200000004</v>
      </c>
    </row>
    <row r="94" spans="1:44" s="4" customFormat="1" ht="16.5">
      <c r="A94"/>
      <c r="B94" s="57" t="s">
        <v>97</v>
      </c>
      <c r="C94" s="57" t="s">
        <v>237</v>
      </c>
      <c r="D94" s="69">
        <v>0</v>
      </c>
      <c r="E94" s="69">
        <v>0</v>
      </c>
      <c r="F94" s="69">
        <v>0</v>
      </c>
      <c r="G94" s="69">
        <v>0</v>
      </c>
      <c r="H94" s="69">
        <f>H93/H85</f>
        <v>0</v>
      </c>
      <c r="I94" s="69">
        <f t="shared" ref="I94:AE94" si="173">I93/I85</f>
        <v>0</v>
      </c>
      <c r="J94" s="69">
        <f t="shared" si="173"/>
        <v>0</v>
      </c>
      <c r="K94" s="69">
        <f t="shared" si="173"/>
        <v>0</v>
      </c>
      <c r="L94" s="69">
        <f t="shared" si="173"/>
        <v>1.5286259961729363E-3</v>
      </c>
      <c r="M94" s="69">
        <f t="shared" si="173"/>
        <v>1.9411658720875362E-3</v>
      </c>
      <c r="N94" s="69">
        <f t="shared" si="173"/>
        <v>1.7624632015829352E-3</v>
      </c>
      <c r="O94" s="69">
        <f t="shared" si="173"/>
        <v>1.0429773617022895E-3</v>
      </c>
      <c r="P94" s="69">
        <f t="shared" si="173"/>
        <v>6.9206226562135728E-4</v>
      </c>
      <c r="Q94" s="69">
        <f t="shared" si="173"/>
        <v>2.3301235942077684E-3</v>
      </c>
      <c r="R94" s="69">
        <f t="shared" si="173"/>
        <v>1.2852794908059578E-3</v>
      </c>
      <c r="S94" s="69">
        <f t="shared" si="173"/>
        <v>1.2943951047443818E-3</v>
      </c>
      <c r="T94" s="69">
        <f t="shared" si="173"/>
        <v>1.6539945337384183E-3</v>
      </c>
      <c r="U94" s="69">
        <f t="shared" si="173"/>
        <v>1.2712163723026704E-3</v>
      </c>
      <c r="V94" s="69">
        <f t="shared" si="173"/>
        <v>1.1905549991311035E-3</v>
      </c>
      <c r="W94" s="69">
        <f t="shared" si="173"/>
        <v>1.0573166534551615E-3</v>
      </c>
      <c r="X94" s="69">
        <f t="shared" si="173"/>
        <v>1.1066756072765345E-3</v>
      </c>
      <c r="Y94" s="69">
        <f t="shared" si="173"/>
        <v>1.1730637093900758E-3</v>
      </c>
      <c r="Z94" s="69">
        <f t="shared" si="173"/>
        <v>9.9267033631029707E-4</v>
      </c>
      <c r="AA94" s="69">
        <f t="shared" si="173"/>
        <v>1.1574390719766188E-3</v>
      </c>
      <c r="AB94" s="69">
        <f t="shared" si="173"/>
        <v>1.1026218410626863E-3</v>
      </c>
      <c r="AC94" s="69">
        <f t="shared" si="173"/>
        <v>1.1852196809329152E-3</v>
      </c>
      <c r="AD94" s="69">
        <v>1.6543399726977406E-3</v>
      </c>
      <c r="AE94" s="69">
        <f t="shared" si="173"/>
        <v>1.4099536518811164E-3</v>
      </c>
      <c r="AF94" s="69">
        <f t="shared" ref="AF94:AI94" si="174">AF93/AF85</f>
        <v>1.6224290849145839E-3</v>
      </c>
      <c r="AG94" s="69">
        <f t="shared" si="174"/>
        <v>1.7144335894900987E-3</v>
      </c>
      <c r="AH94" s="69">
        <f t="shared" si="174"/>
        <v>0</v>
      </c>
      <c r="AI94" s="69">
        <f t="shared" si="174"/>
        <v>3.9869350435098767E-7</v>
      </c>
      <c r="AK94" s="69">
        <f t="shared" ref="AK94:AP94" si="175">IFERROR(AK93/AK85,0)</f>
        <v>0</v>
      </c>
      <c r="AL94" s="69">
        <f t="shared" si="175"/>
        <v>0</v>
      </c>
      <c r="AM94" s="69">
        <f t="shared" si="175"/>
        <v>1.5570707746373122E-3</v>
      </c>
      <c r="AN94" s="69">
        <f t="shared" si="175"/>
        <v>1.431464239571771E-3</v>
      </c>
      <c r="AO94" s="69">
        <f t="shared" si="175"/>
        <v>1.2590003441747817E-3</v>
      </c>
      <c r="AP94" s="69">
        <f t="shared" si="175"/>
        <v>1.1039520708342253E-3</v>
      </c>
      <c r="AQ94" s="68">
        <f>AQ93/AQ85</f>
        <v>1.311659298780958E-3</v>
      </c>
      <c r="AR94" s="68">
        <f>AR93/AR85</f>
        <v>7.6936234920470909E-4</v>
      </c>
    </row>
    <row r="95" spans="1:44" s="143" customFormat="1" ht="16.5">
      <c r="A95" s="132"/>
      <c r="B95" s="141"/>
      <c r="C95" s="141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K95" s="142"/>
      <c r="AL95" s="142"/>
      <c r="AM95" s="142"/>
      <c r="AN95" s="142"/>
      <c r="AO95" s="142"/>
      <c r="AP95" s="142"/>
      <c r="AQ95" s="142"/>
      <c r="AR95" s="142"/>
    </row>
    <row r="96" spans="1:44" s="4" customFormat="1" ht="16.5">
      <c r="A96"/>
      <c r="B96" s="6" t="s">
        <v>431</v>
      </c>
      <c r="C96" s="149" t="s">
        <v>427</v>
      </c>
      <c r="D96" s="7" t="s">
        <v>401</v>
      </c>
      <c r="E96" s="8" t="s">
        <v>402</v>
      </c>
      <c r="F96" s="7" t="s">
        <v>403</v>
      </c>
      <c r="G96" s="7" t="s">
        <v>404</v>
      </c>
      <c r="H96" s="7" t="s">
        <v>405</v>
      </c>
      <c r="I96" s="8" t="s">
        <v>406</v>
      </c>
      <c r="J96" s="8" t="s">
        <v>407</v>
      </c>
      <c r="K96" s="8" t="s">
        <v>408</v>
      </c>
      <c r="L96" s="8" t="s">
        <v>409</v>
      </c>
      <c r="M96" s="8" t="s">
        <v>410</v>
      </c>
      <c r="N96" s="8" t="s">
        <v>411</v>
      </c>
      <c r="O96" s="8" t="s">
        <v>412</v>
      </c>
      <c r="P96" s="8" t="s">
        <v>413</v>
      </c>
      <c r="Q96" s="8" t="s">
        <v>414</v>
      </c>
      <c r="R96" s="8" t="s">
        <v>415</v>
      </c>
      <c r="S96" s="17" t="s">
        <v>416</v>
      </c>
      <c r="T96" s="17" t="s">
        <v>417</v>
      </c>
      <c r="U96" s="17" t="s">
        <v>418</v>
      </c>
      <c r="V96" s="17" t="s">
        <v>419</v>
      </c>
      <c r="W96" s="17" t="s">
        <v>425</v>
      </c>
      <c r="X96" s="17" t="s">
        <v>420</v>
      </c>
      <c r="Y96" s="17" t="s">
        <v>421</v>
      </c>
      <c r="Z96" s="17" t="s">
        <v>422</v>
      </c>
      <c r="AA96" s="17" t="s">
        <v>423</v>
      </c>
      <c r="AB96" s="17" t="s">
        <v>424</v>
      </c>
      <c r="AC96" s="17" t="s">
        <v>400</v>
      </c>
      <c r="AD96" s="17" t="s">
        <v>429</v>
      </c>
      <c r="AE96" s="17" t="str">
        <f>AE5</f>
        <v>4Q23</v>
      </c>
      <c r="AF96" s="17" t="str">
        <f>AF5</f>
        <v>1Q24</v>
      </c>
      <c r="AG96" s="17" t="str">
        <f>AG5</f>
        <v>2Q24</v>
      </c>
      <c r="AH96" s="17" t="s">
        <v>442</v>
      </c>
      <c r="AI96" s="17" t="str">
        <f>AI83</f>
        <v>4Q24</v>
      </c>
      <c r="AK96" s="17">
        <f>'Results - BU - US GAAP'!AK57</f>
        <v>0</v>
      </c>
      <c r="AL96" s="17">
        <f>'Results - BU - US GAAP'!AL57</f>
        <v>0</v>
      </c>
      <c r="AM96" s="17">
        <f>'Results - BU - US GAAP'!AM57</f>
        <v>0</v>
      </c>
      <c r="AN96" s="17">
        <f>'Results - BU - US GAAP'!AN57</f>
        <v>0</v>
      </c>
      <c r="AO96" s="145">
        <v>2021</v>
      </c>
      <c r="AP96" s="145">
        <v>2022</v>
      </c>
      <c r="AQ96" s="7">
        <f>AQ5</f>
        <v>2023</v>
      </c>
      <c r="AR96" s="7">
        <f>AR5</f>
        <v>2024</v>
      </c>
    </row>
    <row r="97" spans="1:44" s="4" customFormat="1" ht="16.5">
      <c r="A97"/>
    </row>
    <row r="98" spans="1:44" s="4" customFormat="1" ht="16.5">
      <c r="A98"/>
      <c r="B98" s="57" t="s">
        <v>78</v>
      </c>
      <c r="C98" s="57" t="s">
        <v>239</v>
      </c>
      <c r="D98" s="60">
        <v>0</v>
      </c>
      <c r="E98" s="60">
        <v>0</v>
      </c>
      <c r="F98" s="60">
        <v>0</v>
      </c>
      <c r="G98" s="60">
        <v>640.95699999999999</v>
      </c>
      <c r="H98" s="60">
        <v>547.38199999999995</v>
      </c>
      <c r="I98" s="60">
        <v>633.84299999999996</v>
      </c>
      <c r="J98" s="60">
        <v>637.49599999999998</v>
      </c>
      <c r="K98" s="60">
        <v>605.01300000000003</v>
      </c>
      <c r="L98" s="60">
        <v>591.90099999999995</v>
      </c>
      <c r="M98" s="60">
        <v>655.76300000000003</v>
      </c>
      <c r="N98" s="60">
        <v>549.38699999999994</v>
      </c>
      <c r="O98" s="60">
        <v>635.11185519322396</v>
      </c>
      <c r="P98" s="60">
        <v>661.202</v>
      </c>
      <c r="Q98" s="60">
        <v>567.149</v>
      </c>
      <c r="R98" s="60">
        <v>842.90899999999999</v>
      </c>
      <c r="S98" s="60">
        <v>828.61949866484497</v>
      </c>
      <c r="T98" s="60">
        <v>850.87758933910402</v>
      </c>
      <c r="U98" s="60">
        <v>932.96517219204395</v>
      </c>
      <c r="V98" s="60">
        <v>954.66791672772433</v>
      </c>
      <c r="W98" s="60">
        <v>1109.6244295088229</v>
      </c>
      <c r="X98" s="60">
        <v>995.33525859096187</v>
      </c>
      <c r="Y98" s="60">
        <v>1160.2358905155286</v>
      </c>
      <c r="Z98" s="60">
        <v>1191.1570688992279</v>
      </c>
      <c r="AA98" s="60">
        <v>994.06727002885441</v>
      </c>
      <c r="AB98" s="60">
        <v>1270.3873013354776</v>
      </c>
      <c r="AC98" s="60">
        <v>1272.1966095485325</v>
      </c>
      <c r="AD98" s="60">
        <v>686.65977228986878</v>
      </c>
      <c r="AE98" s="60">
        <v>1244.6311050276181</v>
      </c>
      <c r="AF98" s="60">
        <v>814.54425849983886</v>
      </c>
      <c r="AG98" s="60">
        <v>501.17399999999998</v>
      </c>
      <c r="AH98" s="60">
        <v>843.55863699999998</v>
      </c>
      <c r="AI98" s="60">
        <v>664.22625899999991</v>
      </c>
      <c r="AK98" s="60">
        <f>SUM(D98:G98)</f>
        <v>640.95699999999999</v>
      </c>
      <c r="AL98" s="60">
        <f>SUM(H98:K98)</f>
        <v>2423.7339999999999</v>
      </c>
      <c r="AM98" s="60">
        <f>SUM(L98:O98)</f>
        <v>2432.162855193224</v>
      </c>
      <c r="AN98" s="60">
        <f>SUM(P98:S98)</f>
        <v>2899.8794986648454</v>
      </c>
      <c r="AO98" s="60">
        <f>SUM(T98:W98)</f>
        <v>3848.1351077676954</v>
      </c>
      <c r="AP98" s="60">
        <f>SUM(X98:AA98)</f>
        <v>4340.7954880345724</v>
      </c>
      <c r="AQ98" s="67">
        <f>SUM(AB98:AE98)</f>
        <v>4473.8747882014968</v>
      </c>
      <c r="AR98" s="67">
        <f>SUM(AF98:AI98)</f>
        <v>2823.5031544998387</v>
      </c>
    </row>
    <row r="99" spans="1:44" s="9" customFormat="1" ht="16.5">
      <c r="A99"/>
      <c r="B99" s="9" t="s">
        <v>168</v>
      </c>
      <c r="C99" s="9" t="s">
        <v>318</v>
      </c>
      <c r="D99" s="10">
        <v>0</v>
      </c>
      <c r="E99" s="10">
        <v>0</v>
      </c>
      <c r="F99" s="10">
        <v>0</v>
      </c>
      <c r="G99" s="10">
        <v>-539.35199999999998</v>
      </c>
      <c r="H99" s="10">
        <v>-487.63200000000001</v>
      </c>
      <c r="I99" s="10">
        <v>-551.34800000000007</v>
      </c>
      <c r="J99" s="10">
        <v>-557.36400000000003</v>
      </c>
      <c r="K99" s="10">
        <v>-581.85500000000002</v>
      </c>
      <c r="L99" s="10">
        <v>-519.51300000000003</v>
      </c>
      <c r="M99" s="10">
        <v>-571.29499999999996</v>
      </c>
      <c r="N99" s="10">
        <v>-498.03300000000002</v>
      </c>
      <c r="O99" s="10">
        <v>-597.43524853200995</v>
      </c>
      <c r="P99" s="10">
        <v>-590.66800000000001</v>
      </c>
      <c r="Q99" s="10">
        <v>-523.35</v>
      </c>
      <c r="R99" s="10">
        <v>-754.20100000000002</v>
      </c>
      <c r="S99" s="10">
        <v>-677.49280583007601</v>
      </c>
      <c r="T99" s="10">
        <v>-713.39514849369709</v>
      </c>
      <c r="U99" s="10">
        <v>-1327.4201509057839</v>
      </c>
      <c r="V99" s="10">
        <v>-1483.153788523633</v>
      </c>
      <c r="W99" s="10">
        <v>-1516.0144721763852</v>
      </c>
      <c r="X99" s="10">
        <v>-881.91849806001392</v>
      </c>
      <c r="Y99" s="10">
        <v>-1053.7700243646268</v>
      </c>
      <c r="Z99" s="10">
        <v>-1114.2561662477815</v>
      </c>
      <c r="AA99" s="10">
        <v>-921.33467258652968</v>
      </c>
      <c r="AB99" s="10">
        <v>-1178.9141713207036</v>
      </c>
      <c r="AC99" s="10">
        <v>-1183.1678153199998</v>
      </c>
      <c r="AD99" s="10">
        <v>-602.62097642800063</v>
      </c>
      <c r="AE99" s="10">
        <v>-1121.8843596816348</v>
      </c>
      <c r="AF99" s="10">
        <v>-533.77796109636881</v>
      </c>
      <c r="AG99" s="10">
        <v>-370.032963</v>
      </c>
      <c r="AH99" s="10">
        <v>-730.81341099999997</v>
      </c>
      <c r="AI99" s="10">
        <v>-495.78491300000002</v>
      </c>
      <c r="AK99" s="10">
        <f>SUM(D99:G99)</f>
        <v>-539.35199999999998</v>
      </c>
      <c r="AL99" s="10">
        <f>SUM(H99:K99)</f>
        <v>-2178.1990000000001</v>
      </c>
      <c r="AM99" s="10">
        <f>SUM(L99:O99)</f>
        <v>-2186.27624853201</v>
      </c>
      <c r="AN99" s="10">
        <f>SUM(P99:S99)</f>
        <v>-2545.7118058300762</v>
      </c>
      <c r="AO99" s="10">
        <f>SUM(T99:W99)</f>
        <v>-5039.9835600994993</v>
      </c>
      <c r="AP99" s="10">
        <f>SUM(X99:AA99)</f>
        <v>-3971.2793612589521</v>
      </c>
      <c r="AQ99" s="50">
        <f>SUM(AB99:AE99)</f>
        <v>-4086.5873227503389</v>
      </c>
      <c r="AR99" s="50">
        <f>SUM(AF99:AI99)</f>
        <v>-2130.4092480963686</v>
      </c>
    </row>
    <row r="100" spans="1:44" s="4" customFormat="1" ht="16.5">
      <c r="A100"/>
      <c r="B100" s="57" t="s">
        <v>80</v>
      </c>
      <c r="C100" s="57" t="s">
        <v>319</v>
      </c>
      <c r="D100" s="56">
        <v>0</v>
      </c>
      <c r="E100" s="56">
        <v>0</v>
      </c>
      <c r="F100" s="56">
        <v>0</v>
      </c>
      <c r="G100" s="56">
        <v>101.60500000000002</v>
      </c>
      <c r="H100" s="56">
        <v>59.749999999999943</v>
      </c>
      <c r="I100" s="56">
        <v>82.494999999999891</v>
      </c>
      <c r="J100" s="56">
        <v>80.131999999999948</v>
      </c>
      <c r="K100" s="56">
        <v>23.158000000000015</v>
      </c>
      <c r="L100" s="56">
        <v>72.38799999999992</v>
      </c>
      <c r="M100" s="56">
        <v>84.468000000000075</v>
      </c>
      <c r="N100" s="56">
        <v>51.353999999999928</v>
      </c>
      <c r="O100" s="56">
        <v>37.676606661214009</v>
      </c>
      <c r="P100" s="56">
        <v>70.533999999999992</v>
      </c>
      <c r="Q100" s="56">
        <v>43.798999999999978</v>
      </c>
      <c r="R100" s="56">
        <v>88.70799999999997</v>
      </c>
      <c r="S100" s="56">
        <v>151.12669283476896</v>
      </c>
      <c r="T100" s="56">
        <v>137.48244084540693</v>
      </c>
      <c r="U100" s="56">
        <v>-394.45497871373993</v>
      </c>
      <c r="V100" s="56">
        <v>-528.48587179590868</v>
      </c>
      <c r="W100" s="56">
        <v>-406.39004266756228</v>
      </c>
      <c r="X100" s="56">
        <f t="shared" ref="X100:AE100" si="176">SUM(X98:X99)</f>
        <v>113.41676053094795</v>
      </c>
      <c r="Y100" s="56">
        <f t="shared" si="176"/>
        <v>106.46586615090177</v>
      </c>
      <c r="Z100" s="56">
        <f t="shared" si="176"/>
        <v>76.900902651446359</v>
      </c>
      <c r="AA100" s="56">
        <f t="shared" si="176"/>
        <v>72.732597442324732</v>
      </c>
      <c r="AB100" s="56">
        <f t="shared" si="176"/>
        <v>91.473130014773915</v>
      </c>
      <c r="AC100" s="56">
        <f t="shared" si="176"/>
        <v>89.028794228532661</v>
      </c>
      <c r="AD100" s="56">
        <f t="shared" si="176"/>
        <v>84.038795861868152</v>
      </c>
      <c r="AE100" s="56">
        <f t="shared" si="176"/>
        <v>122.7467453459833</v>
      </c>
      <c r="AF100" s="56">
        <f t="shared" ref="AF100" si="177">SUM(AF98:AF99)</f>
        <v>280.76629740347005</v>
      </c>
      <c r="AG100" s="56">
        <f t="shared" ref="AG100:AI100" si="178">SUM(AG98:AG99)</f>
        <v>131.14103699999998</v>
      </c>
      <c r="AH100" s="56">
        <f t="shared" ref="AH100" si="179">SUM(AH98:AH99)</f>
        <v>112.745226</v>
      </c>
      <c r="AI100" s="56">
        <f t="shared" si="178"/>
        <v>168.4413459999999</v>
      </c>
      <c r="AK100" s="56">
        <f t="shared" ref="AK100:AP100" si="180">SUM(AK98:AK99)</f>
        <v>101.60500000000002</v>
      </c>
      <c r="AL100" s="56">
        <f t="shared" si="180"/>
        <v>245.53499999999985</v>
      </c>
      <c r="AM100" s="56">
        <f t="shared" si="180"/>
        <v>245.88660666121405</v>
      </c>
      <c r="AN100" s="56">
        <f t="shared" si="180"/>
        <v>354.16769283476924</v>
      </c>
      <c r="AO100" s="56">
        <f t="shared" si="180"/>
        <v>-1191.8484523318039</v>
      </c>
      <c r="AP100" s="56">
        <f t="shared" si="180"/>
        <v>369.51612677562025</v>
      </c>
      <c r="AQ100" s="62">
        <f>SUM(AB100:AE100)</f>
        <v>387.28746545115803</v>
      </c>
      <c r="AR100" s="62">
        <f>SUM(AF100:AI100)</f>
        <v>693.09390640346987</v>
      </c>
    </row>
    <row r="101" spans="1:44" s="4" customFormat="1" ht="16.5">
      <c r="A101"/>
      <c r="B101" s="57" t="s">
        <v>169</v>
      </c>
      <c r="C101" s="57" t="s">
        <v>290</v>
      </c>
      <c r="D101" s="69">
        <v>0</v>
      </c>
      <c r="E101" s="69">
        <v>0</v>
      </c>
      <c r="F101" s="69">
        <v>0</v>
      </c>
      <c r="G101" s="69">
        <f>G100/G98</f>
        <v>0.15852077440452328</v>
      </c>
      <c r="H101" s="69">
        <f t="shared" ref="H101:AE101" si="181">H100/H98</f>
        <v>0.10915594593903334</v>
      </c>
      <c r="I101" s="69">
        <f t="shared" si="181"/>
        <v>0.13015052623441437</v>
      </c>
      <c r="J101" s="69">
        <f t="shared" si="181"/>
        <v>0.12569804359556758</v>
      </c>
      <c r="K101" s="69">
        <f t="shared" si="181"/>
        <v>3.8276863472355163E-2</v>
      </c>
      <c r="L101" s="69">
        <f t="shared" si="181"/>
        <v>0.12229747880135348</v>
      </c>
      <c r="M101" s="69">
        <f t="shared" si="181"/>
        <v>0.12880873120319394</v>
      </c>
      <c r="N101" s="69">
        <f t="shared" si="181"/>
        <v>9.3475091329062995E-2</v>
      </c>
      <c r="O101" s="69">
        <f t="shared" si="181"/>
        <v>5.9322789132555911E-2</v>
      </c>
      <c r="P101" s="69">
        <f t="shared" si="181"/>
        <v>0.10667541840466301</v>
      </c>
      <c r="Q101" s="69">
        <f t="shared" si="181"/>
        <v>7.7226619459789189E-2</v>
      </c>
      <c r="R101" s="69">
        <f t="shared" si="181"/>
        <v>0.10524030470667649</v>
      </c>
      <c r="S101" s="69">
        <f t="shared" si="181"/>
        <v>0.18238370335030671</v>
      </c>
      <c r="T101" s="69">
        <f t="shared" si="181"/>
        <v>0.16157722634602784</v>
      </c>
      <c r="U101" s="69">
        <f t="shared" si="181"/>
        <v>-0.42279711019324556</v>
      </c>
      <c r="V101" s="69">
        <f t="shared" si="181"/>
        <v>-0.55358084474795988</v>
      </c>
      <c r="W101" s="69">
        <f t="shared" si="181"/>
        <v>-0.36624107388069266</v>
      </c>
      <c r="X101" s="69">
        <f t="shared" si="181"/>
        <v>0.11394829988390591</v>
      </c>
      <c r="Y101" s="69">
        <f t="shared" si="181"/>
        <v>9.1762258883058431E-2</v>
      </c>
      <c r="Z101" s="69">
        <f t="shared" si="181"/>
        <v>6.4559834012916553E-2</v>
      </c>
      <c r="AA101" s="69">
        <f t="shared" si="181"/>
        <v>7.3166675571376127E-2</v>
      </c>
      <c r="AB101" s="69">
        <f t="shared" si="181"/>
        <v>7.2004128125819591E-2</v>
      </c>
      <c r="AC101" s="69">
        <f t="shared" si="181"/>
        <v>6.9980373756951389E-2</v>
      </c>
      <c r="AD101" s="69">
        <v>0.12238782473249611</v>
      </c>
      <c r="AE101" s="69">
        <f t="shared" si="181"/>
        <v>9.8620984844549245E-2</v>
      </c>
      <c r="AF101" s="69">
        <f t="shared" ref="AF101:AG101" si="182">AF100/AF98</f>
        <v>0.34469127303231195</v>
      </c>
      <c r="AG101" s="69">
        <f t="shared" si="182"/>
        <v>0.26166767829137183</v>
      </c>
      <c r="AH101" s="69">
        <f t="shared" ref="AH101" si="183">AH100/AH98</f>
        <v>0.13365428442646601</v>
      </c>
      <c r="AI101" s="69">
        <f t="shared" ref="AI101" si="184">AI100/AI98</f>
        <v>0.25359031462199377</v>
      </c>
      <c r="AK101" s="69">
        <f t="shared" ref="AK101:AP101" si="185">IFERROR(AK100/AK98,0)</f>
        <v>0.15852077440452328</v>
      </c>
      <c r="AL101" s="69">
        <f t="shared" si="185"/>
        <v>0.1013044335723309</v>
      </c>
      <c r="AM101" s="69">
        <f t="shared" si="185"/>
        <v>0.10109792037000725</v>
      </c>
      <c r="AN101" s="69">
        <f t="shared" si="185"/>
        <v>0.12213186547849114</v>
      </c>
      <c r="AO101" s="69">
        <f t="shared" si="185"/>
        <v>-0.30972105161432223</v>
      </c>
      <c r="AP101" s="69">
        <f t="shared" si="185"/>
        <v>8.5126361698954392E-2</v>
      </c>
      <c r="AQ101" s="68">
        <f>AQ100/AQ98</f>
        <v>8.6566451629918786E-2</v>
      </c>
      <c r="AR101" s="68">
        <f>AR100/AR98</f>
        <v>0.24547304128167194</v>
      </c>
    </row>
    <row r="102" spans="1:44" s="4" customFormat="1" ht="16.5">
      <c r="A102"/>
      <c r="B102" s="2"/>
      <c r="C102" s="2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K102" s="28"/>
      <c r="AL102" s="28"/>
      <c r="AM102" s="28"/>
      <c r="AN102" s="28"/>
      <c r="AO102" s="28"/>
      <c r="AP102" s="28"/>
      <c r="AQ102" s="51"/>
      <c r="AR102" s="51"/>
    </row>
    <row r="103" spans="1:44" ht="16.5">
      <c r="B103" s="57" t="s">
        <v>0</v>
      </c>
      <c r="C103" s="57" t="s">
        <v>0</v>
      </c>
      <c r="D103" s="147"/>
      <c r="E103" s="147"/>
      <c r="F103" s="147"/>
      <c r="G103" s="147"/>
      <c r="H103" s="67">
        <v>2.8000000000000001E-2</v>
      </c>
      <c r="I103" s="67">
        <v>-1.4279999999999999</v>
      </c>
      <c r="J103" s="67">
        <v>-0.60699999999999998</v>
      </c>
      <c r="K103" s="67">
        <v>-41.136000000000003</v>
      </c>
      <c r="L103" s="67">
        <v>5.1769999999999996</v>
      </c>
      <c r="M103" s="67">
        <v>-9.7260000000000009</v>
      </c>
      <c r="N103" s="67">
        <v>-21.614999999999998</v>
      </c>
      <c r="O103" s="67">
        <v>-90.067144365161894</v>
      </c>
      <c r="P103" s="67">
        <v>8.49</v>
      </c>
      <c r="Q103" s="67">
        <v>-110.503</v>
      </c>
      <c r="R103" s="67">
        <v>-8.3444874741516113</v>
      </c>
      <c r="S103" s="67">
        <v>20.286649100616458</v>
      </c>
      <c r="T103" s="67">
        <v>13.433855647626876</v>
      </c>
      <c r="U103" s="67">
        <v>2.3401752525119801</v>
      </c>
      <c r="V103" s="67">
        <v>1.4408885134582499</v>
      </c>
      <c r="W103" s="67">
        <v>-3.5638619416122017</v>
      </c>
      <c r="X103" s="67">
        <v>9.6800958752975461</v>
      </c>
      <c r="Y103" s="67">
        <v>-56.938656101452708</v>
      </c>
      <c r="Z103" s="67">
        <v>-67.2500310261983</v>
      </c>
      <c r="AA103" s="67">
        <v>-78.636745805412701</v>
      </c>
      <c r="AB103" s="67">
        <v>-40.473486891326537</v>
      </c>
      <c r="AC103" s="67">
        <v>-49.788893540757691</v>
      </c>
      <c r="AD103" s="67">
        <v>-58.324888940575903</v>
      </c>
      <c r="AE103" s="67">
        <v>-29.496498319856219</v>
      </c>
      <c r="AF103" s="67">
        <v>-42.706409645466699</v>
      </c>
      <c r="AG103" s="67">
        <v>-26.734992728151322</v>
      </c>
      <c r="AH103" s="67">
        <v>-57.17196207527828</v>
      </c>
      <c r="AI103" s="67">
        <v>-66.887105907060928</v>
      </c>
      <c r="AK103" s="67"/>
      <c r="AL103" s="67"/>
      <c r="AM103" s="67"/>
      <c r="AN103" s="67"/>
      <c r="AO103" s="67">
        <f>SUM(T103:W103)</f>
        <v>13.651057471984902</v>
      </c>
      <c r="AP103" s="67">
        <f>SUM(X103:AA103)</f>
        <v>-193.14533705776614</v>
      </c>
      <c r="AQ103" s="67">
        <f>SUM(AB103:AE103)</f>
        <v>-178.08376769251635</v>
      </c>
      <c r="AR103" s="67">
        <f>SUM(AF103:AI103)</f>
        <v>-193.50047035595725</v>
      </c>
    </row>
    <row r="104" spans="1:44" s="4" customFormat="1" ht="16.5">
      <c r="A104"/>
      <c r="B104" s="57" t="s">
        <v>170</v>
      </c>
      <c r="C104" s="57" t="s">
        <v>291</v>
      </c>
      <c r="D104" s="69"/>
      <c r="E104" s="69"/>
      <c r="F104" s="69"/>
      <c r="G104" s="69"/>
      <c r="H104" s="69">
        <f t="shared" ref="H104:AE104" si="186">H103/H98</f>
        <v>5.115257717645082E-5</v>
      </c>
      <c r="I104" s="69">
        <f t="shared" si="186"/>
        <v>-2.2529238312957627E-3</v>
      </c>
      <c r="J104" s="69">
        <f t="shared" si="186"/>
        <v>-9.5216283710015438E-4</v>
      </c>
      <c r="K104" s="69">
        <f t="shared" si="186"/>
        <v>-6.7991927446187109E-2</v>
      </c>
      <c r="L104" s="69">
        <f t="shared" si="186"/>
        <v>8.7463950897193957E-3</v>
      </c>
      <c r="M104" s="69">
        <f t="shared" si="186"/>
        <v>-1.4831577871883593E-2</v>
      </c>
      <c r="N104" s="69">
        <f t="shared" si="186"/>
        <v>-3.9343850509749957E-2</v>
      </c>
      <c r="O104" s="69">
        <f t="shared" si="186"/>
        <v>-0.14181304226758643</v>
      </c>
      <c r="P104" s="69">
        <f t="shared" si="186"/>
        <v>1.2840251541888864E-2</v>
      </c>
      <c r="Q104" s="69">
        <f t="shared" si="186"/>
        <v>-0.19483945136110617</v>
      </c>
      <c r="R104" s="69">
        <f t="shared" si="186"/>
        <v>-9.89963029716329E-3</v>
      </c>
      <c r="S104" s="69">
        <f t="shared" si="186"/>
        <v>2.4482466479855164E-2</v>
      </c>
      <c r="T104" s="69">
        <f t="shared" si="186"/>
        <v>1.5788235365396398E-2</v>
      </c>
      <c r="U104" s="69">
        <f t="shared" si="186"/>
        <v>2.5083200555210783E-3</v>
      </c>
      <c r="V104" s="69">
        <f t="shared" si="186"/>
        <v>1.5093086173851153E-3</v>
      </c>
      <c r="W104" s="69">
        <f t="shared" si="186"/>
        <v>-3.2117731430892802E-3</v>
      </c>
      <c r="X104" s="69">
        <f t="shared" si="186"/>
        <v>9.7254626436132623E-3</v>
      </c>
      <c r="Y104" s="69">
        <f t="shared" si="186"/>
        <v>-4.9075068757055175E-2</v>
      </c>
      <c r="Z104" s="69">
        <f t="shared" si="186"/>
        <v>-5.6457735744577665E-2</v>
      </c>
      <c r="AA104" s="69">
        <f t="shared" si="186"/>
        <v>-7.9106060702642533E-2</v>
      </c>
      <c r="AB104" s="69">
        <f t="shared" si="186"/>
        <v>-3.1859171489497205E-2</v>
      </c>
      <c r="AC104" s="69">
        <f t="shared" si="186"/>
        <v>-3.9136162733861078E-2</v>
      </c>
      <c r="AD104" s="69">
        <v>-8.4940011479155711E-2</v>
      </c>
      <c r="AE104" s="69">
        <f t="shared" si="186"/>
        <v>-2.3698988560310566E-2</v>
      </c>
      <c r="AF104" s="69">
        <f t="shared" ref="AF104:AI104" si="187">AF103/AF98</f>
        <v>-5.2429820970219441E-2</v>
      </c>
      <c r="AG104" s="69">
        <f t="shared" si="187"/>
        <v>-5.3344732025506755E-2</v>
      </c>
      <c r="AH104" s="69">
        <f t="shared" si="187"/>
        <v>-6.7774733809379845E-2</v>
      </c>
      <c r="AI104" s="69">
        <f t="shared" si="187"/>
        <v>-0.10069927980227734</v>
      </c>
      <c r="AK104" s="69"/>
      <c r="AL104" s="69"/>
      <c r="AM104" s="69"/>
      <c r="AN104" s="69"/>
      <c r="AO104" s="68">
        <f>AO103/AO98</f>
        <v>3.5474475530834172E-3</v>
      </c>
      <c r="AP104" s="68">
        <f>AP103/AP98</f>
        <v>-4.4495378229675267E-2</v>
      </c>
      <c r="AQ104" s="68">
        <f>AQ103/AQ98</f>
        <v>-3.9805264144217645E-2</v>
      </c>
      <c r="AR104" s="68">
        <f>AR103/AR98</f>
        <v>-6.8532053894671249E-2</v>
      </c>
    </row>
    <row r="105" spans="1:44" s="4" customFormat="1" ht="16.5">
      <c r="A105"/>
      <c r="B105" s="2"/>
      <c r="C105" s="2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K105" s="28"/>
      <c r="AL105" s="28"/>
      <c r="AM105" s="28"/>
      <c r="AN105" s="28"/>
      <c r="AO105" s="28"/>
      <c r="AP105" s="28"/>
      <c r="AQ105" s="51"/>
      <c r="AR105" s="51"/>
    </row>
    <row r="106" spans="1:44" s="4" customFormat="1" ht="16.5">
      <c r="A106"/>
      <c r="B106" s="57" t="s">
        <v>1</v>
      </c>
      <c r="C106" s="57" t="s">
        <v>1</v>
      </c>
      <c r="D106" s="60">
        <v>0</v>
      </c>
      <c r="E106" s="60">
        <v>0</v>
      </c>
      <c r="F106" s="60">
        <v>0</v>
      </c>
      <c r="G106" s="60">
        <v>-19.337</v>
      </c>
      <c r="H106" s="60">
        <v>9.8940000000000001</v>
      </c>
      <c r="I106" s="60">
        <v>9.4990000000000006</v>
      </c>
      <c r="J106" s="60">
        <v>12.842000000000001</v>
      </c>
      <c r="K106" s="60">
        <v>-26.751999999999999</v>
      </c>
      <c r="L106" s="60">
        <v>22.88</v>
      </c>
      <c r="M106" s="60">
        <v>11.236000000000001</v>
      </c>
      <c r="N106" s="60">
        <v>-2.2789999999999999</v>
      </c>
      <c r="O106" s="60">
        <v>-67.994596481826207</v>
      </c>
      <c r="P106" s="60">
        <v>31.009</v>
      </c>
      <c r="Q106" s="60">
        <v>-84.042000000000002</v>
      </c>
      <c r="R106" s="60">
        <v>19.402000000000001</v>
      </c>
      <c r="S106" s="60">
        <v>48.628848339850201</v>
      </c>
      <c r="T106" s="60">
        <v>39.831651895181281</v>
      </c>
      <c r="U106" s="60">
        <v>31.861788279695975</v>
      </c>
      <c r="V106" s="60">
        <v>29.631046442921168</v>
      </c>
      <c r="W106" s="60">
        <v>32.207942307787881</v>
      </c>
      <c r="X106" s="60">
        <v>39.11214424454495</v>
      </c>
      <c r="Y106" s="60">
        <v>-21.442610594438744</v>
      </c>
      <c r="Z106" s="60">
        <v>-30.504918700064568</v>
      </c>
      <c r="AA106" s="60">
        <v>-27.287005995340806</v>
      </c>
      <c r="AB106" s="60">
        <v>-3.8108154372821881</v>
      </c>
      <c r="AC106" s="60">
        <v>-11.296834259422591</v>
      </c>
      <c r="AD106" s="60">
        <v>-21.657916939963798</v>
      </c>
      <c r="AE106" s="60">
        <v>11.125476038840686</v>
      </c>
      <c r="AF106" s="60">
        <v>7.0039563739997437E-2</v>
      </c>
      <c r="AG106" s="60">
        <v>19.194211327499243</v>
      </c>
      <c r="AH106" s="60">
        <v>-0.47327298084878566</v>
      </c>
      <c r="AI106" s="60">
        <v>-0.91664378860742723</v>
      </c>
      <c r="AK106" s="56">
        <f>SUM(D106:G106)</f>
        <v>-19.337</v>
      </c>
      <c r="AL106" s="56">
        <f>SUM(H106:K106)</f>
        <v>5.4830000000000005</v>
      </c>
      <c r="AM106" s="56">
        <f>SUM(L106:O106)</f>
        <v>-36.157596481826204</v>
      </c>
      <c r="AN106" s="56">
        <f>SUM(P106:S106)</f>
        <v>14.997848339850201</v>
      </c>
      <c r="AO106" s="56">
        <f>SUM(T106:W106)</f>
        <v>133.53242892558629</v>
      </c>
      <c r="AP106" s="56">
        <f>SUM(X106:AA106)</f>
        <v>-40.122391045299167</v>
      </c>
      <c r="AQ106" s="62">
        <f>SUM(AB106:AE106)</f>
        <v>-25.640090597827893</v>
      </c>
      <c r="AR106" s="62">
        <f>SUM(AF106:AI106)</f>
        <v>17.874334121783026</v>
      </c>
    </row>
    <row r="107" spans="1:44" s="4" customFormat="1" ht="16.5">
      <c r="A107"/>
      <c r="B107" s="57" t="s">
        <v>97</v>
      </c>
      <c r="C107" s="57" t="s">
        <v>237</v>
      </c>
      <c r="D107" s="69" t="s">
        <v>399</v>
      </c>
      <c r="E107" s="69" t="s">
        <v>399</v>
      </c>
      <c r="F107" s="69" t="s">
        <v>399</v>
      </c>
      <c r="G107" s="69">
        <f>G106/G98</f>
        <v>-3.01689504912186E-2</v>
      </c>
      <c r="H107" s="69">
        <f t="shared" ref="H107:AE107" si="188">H106/H98</f>
        <v>1.8075128520850157E-2</v>
      </c>
      <c r="I107" s="69">
        <f t="shared" si="188"/>
        <v>1.4986360975825246E-2</v>
      </c>
      <c r="J107" s="69">
        <f t="shared" si="188"/>
        <v>2.0144440121977237E-2</v>
      </c>
      <c r="K107" s="69">
        <f t="shared" si="188"/>
        <v>-4.4217231695847854E-2</v>
      </c>
      <c r="L107" s="69">
        <f t="shared" si="188"/>
        <v>3.8655112932737067E-2</v>
      </c>
      <c r="M107" s="69">
        <f t="shared" si="188"/>
        <v>1.7134239046728773E-2</v>
      </c>
      <c r="N107" s="69">
        <f t="shared" si="188"/>
        <v>-4.148259787727049E-3</v>
      </c>
      <c r="O107" s="69">
        <f t="shared" si="188"/>
        <v>-0.10705924621914008</v>
      </c>
      <c r="P107" s="69">
        <f t="shared" si="188"/>
        <v>4.6897922268837662E-2</v>
      </c>
      <c r="Q107" s="69">
        <f t="shared" si="188"/>
        <v>-0.14818328164203765</v>
      </c>
      <c r="R107" s="69">
        <f t="shared" si="188"/>
        <v>2.3017905847487689E-2</v>
      </c>
      <c r="S107" s="69">
        <f t="shared" si="188"/>
        <v>5.8686584636501907E-2</v>
      </c>
      <c r="T107" s="69">
        <f t="shared" si="188"/>
        <v>4.6812435060276332E-2</v>
      </c>
      <c r="U107" s="69">
        <f t="shared" si="188"/>
        <v>3.4151101487352696E-2</v>
      </c>
      <c r="V107" s="69">
        <f t="shared" si="188"/>
        <v>3.1038066665617377E-2</v>
      </c>
      <c r="W107" s="69">
        <f t="shared" si="188"/>
        <v>2.9025985235423105E-2</v>
      </c>
      <c r="X107" s="69">
        <f t="shared" si="188"/>
        <v>3.9295447344961668E-2</v>
      </c>
      <c r="Y107" s="69">
        <f t="shared" si="188"/>
        <v>-1.8481250898824662E-2</v>
      </c>
      <c r="Z107" s="69">
        <f t="shared" si="188"/>
        <v>-2.5609484673801058E-2</v>
      </c>
      <c r="AA107" s="69">
        <f t="shared" si="188"/>
        <v>-2.7449858594125884E-2</v>
      </c>
      <c r="AB107" s="69">
        <f t="shared" si="188"/>
        <v>-2.9997272747264709E-3</v>
      </c>
      <c r="AC107" s="69">
        <f t="shared" si="188"/>
        <v>-8.8797864847568846E-3</v>
      </c>
      <c r="AD107" s="69">
        <v>-3.1540972420357624E-2</v>
      </c>
      <c r="AE107" s="69">
        <f t="shared" si="188"/>
        <v>8.9387739016805415E-3</v>
      </c>
      <c r="AF107" s="69">
        <f t="shared" ref="AF107:AH107" si="189">AF106/AF98</f>
        <v>8.5986197814457116E-5</v>
      </c>
      <c r="AG107" s="69">
        <f t="shared" si="189"/>
        <v>3.829849778220587E-2</v>
      </c>
      <c r="AH107" s="69">
        <f t="shared" si="189"/>
        <v>-5.6104337041929387E-4</v>
      </c>
      <c r="AI107" s="69">
        <f>AI106/AI98</f>
        <v>-1.3800173904407885E-3</v>
      </c>
      <c r="AK107" s="69">
        <f t="shared" ref="AK107:AP107" si="190">IFERROR(AK106/AK98,0)</f>
        <v>-3.01689504912186E-2</v>
      </c>
      <c r="AL107" s="69">
        <f t="shared" si="190"/>
        <v>2.2622119423996202E-3</v>
      </c>
      <c r="AM107" s="69">
        <f t="shared" si="190"/>
        <v>-1.4866437255474676E-2</v>
      </c>
      <c r="AN107" s="69">
        <f t="shared" si="190"/>
        <v>5.1718867445200633E-3</v>
      </c>
      <c r="AO107" s="69">
        <f t="shared" si="190"/>
        <v>3.4700556291810784E-2</v>
      </c>
      <c r="AP107" s="69">
        <f t="shared" si="190"/>
        <v>-9.2430963762049536E-3</v>
      </c>
      <c r="AQ107" s="68">
        <f>AQ106/AQ98</f>
        <v>-5.7310702269643184E-3</v>
      </c>
      <c r="AR107" s="68">
        <f>AR106/AR98</f>
        <v>6.3305522054390344E-3</v>
      </c>
    </row>
    <row r="108" spans="1:44" s="4" customFormat="1" ht="16.5">
      <c r="A108"/>
      <c r="B108" s="57"/>
      <c r="C108" s="57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K108" s="69"/>
      <c r="AL108" s="69"/>
      <c r="AM108" s="69"/>
      <c r="AN108" s="69"/>
      <c r="AO108" s="69"/>
      <c r="AP108" s="69"/>
      <c r="AQ108" s="69"/>
      <c r="AR108" s="69"/>
    </row>
    <row r="109" spans="1:44" s="4" customFormat="1" ht="16.5">
      <c r="A109"/>
      <c r="B109" s="57"/>
      <c r="C109" s="57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K109" s="69"/>
      <c r="AL109" s="69"/>
      <c r="AM109" s="69"/>
      <c r="AN109" s="69"/>
      <c r="AO109" s="69"/>
      <c r="AP109" s="69"/>
      <c r="AQ109" s="69"/>
      <c r="AR109" s="69"/>
    </row>
    <row r="110" spans="1:44" s="4" customFormat="1" ht="16.5">
      <c r="A110"/>
      <c r="B110" s="57"/>
      <c r="C110" s="57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K110" s="69"/>
      <c r="AL110" s="69"/>
      <c r="AM110" s="69"/>
      <c r="AN110" s="69"/>
      <c r="AO110" s="69"/>
      <c r="AP110" s="69"/>
      <c r="AQ110" s="69"/>
      <c r="AR110" s="69"/>
    </row>
    <row r="111" spans="1:44" ht="14.45" customHeight="1">
      <c r="B111" s="116" t="s">
        <v>194</v>
      </c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</row>
    <row r="112" spans="1:44" ht="14.45" customHeight="1"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</row>
    <row r="113" spans="1:46" ht="14.45" customHeight="1"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</row>
    <row r="114" spans="1:46" ht="14.45" customHeight="1"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</row>
    <row r="116" spans="1:46" ht="16.5">
      <c r="B116" s="6" t="s">
        <v>4</v>
      </c>
      <c r="C116" s="6" t="s">
        <v>4</v>
      </c>
      <c r="D116" s="44" t="s">
        <v>20</v>
      </c>
      <c r="E116" s="44" t="s">
        <v>21</v>
      </c>
      <c r="F116" s="44" t="s">
        <v>22</v>
      </c>
      <c r="G116" s="44" t="s">
        <v>23</v>
      </c>
      <c r="H116" s="44" t="s">
        <v>24</v>
      </c>
      <c r="I116" s="44" t="s">
        <v>25</v>
      </c>
      <c r="J116" s="44" t="s">
        <v>26</v>
      </c>
      <c r="K116" s="44" t="s">
        <v>27</v>
      </c>
      <c r="L116" s="44" t="s">
        <v>28</v>
      </c>
      <c r="M116" s="44" t="s">
        <v>29</v>
      </c>
      <c r="N116" s="44" t="s">
        <v>30</v>
      </c>
      <c r="O116" s="44" t="s">
        <v>31</v>
      </c>
      <c r="P116" s="44" t="s">
        <v>32</v>
      </c>
      <c r="Q116" s="44" t="s">
        <v>33</v>
      </c>
      <c r="R116" s="44" t="s">
        <v>34</v>
      </c>
      <c r="S116" s="44" t="s">
        <v>35</v>
      </c>
      <c r="T116" s="44" t="s">
        <v>36</v>
      </c>
      <c r="U116" s="44" t="s">
        <v>183</v>
      </c>
      <c r="V116" s="44" t="s">
        <v>187</v>
      </c>
      <c r="W116" s="44" t="s">
        <v>188</v>
      </c>
      <c r="AK116" s="44">
        <v>2017</v>
      </c>
      <c r="AL116" s="44">
        <v>2018</v>
      </c>
      <c r="AM116" s="44">
        <v>2019</v>
      </c>
      <c r="AN116" s="44">
        <v>2020</v>
      </c>
      <c r="AO116" s="44">
        <v>2021</v>
      </c>
    </row>
    <row r="117" spans="1:46" ht="16.5">
      <c r="B117" s="4"/>
      <c r="C117" s="4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AK117" s="48"/>
      <c r="AL117" s="48"/>
      <c r="AM117" s="48"/>
      <c r="AN117" s="48"/>
      <c r="AO117" s="48"/>
    </row>
    <row r="118" spans="1:46" ht="16.5">
      <c r="B118" s="57" t="s">
        <v>78</v>
      </c>
      <c r="C118" s="57" t="s">
        <v>239</v>
      </c>
      <c r="D118" s="67">
        <v>15461.914000000001</v>
      </c>
      <c r="E118" s="67">
        <v>17757.753000000001</v>
      </c>
      <c r="F118" s="67">
        <v>17508.331999999999</v>
      </c>
      <c r="G118" s="67">
        <v>18460.897000000001</v>
      </c>
      <c r="H118" s="67">
        <v>16414.046999999999</v>
      </c>
      <c r="I118" s="67">
        <v>20182.078000000001</v>
      </c>
      <c r="J118" s="67">
        <v>21451.616999999998</v>
      </c>
      <c r="K118" s="67">
        <v>20596.395</v>
      </c>
      <c r="L118" s="67">
        <v>18886.113000000001</v>
      </c>
      <c r="M118" s="67">
        <v>22093.821</v>
      </c>
      <c r="N118" s="67">
        <v>22353.286</v>
      </c>
      <c r="O118" s="67">
        <v>23869.370997694699</v>
      </c>
      <c r="P118" s="67">
        <v>23012.505000000001</v>
      </c>
      <c r="Q118" s="67">
        <v>30063.03</v>
      </c>
      <c r="R118" s="67">
        <v>28757.553</v>
      </c>
      <c r="S118" s="67">
        <v>30287.2019971011</v>
      </c>
      <c r="T118" s="67">
        <v>30419.016479727099</v>
      </c>
      <c r="U118" s="67">
        <v>35711.207000000002</v>
      </c>
      <c r="V118" s="67">
        <v>38587.9</v>
      </c>
      <c r="W118" s="67">
        <v>41874.595948938004</v>
      </c>
      <c r="AK118" s="67">
        <f>SUM(D118:G118)</f>
        <v>69188.895999999993</v>
      </c>
      <c r="AL118" s="67">
        <f>SUM(H118:K118)</f>
        <v>78644.137000000002</v>
      </c>
      <c r="AM118" s="67">
        <f>SUM(L118:O118)</f>
        <v>87202.5909976947</v>
      </c>
      <c r="AN118" s="67">
        <f>SUM(P118:S118)</f>
        <v>112120.28999710111</v>
      </c>
      <c r="AO118" s="67">
        <f>SUM(T118:W118)</f>
        <v>146592.71942866512</v>
      </c>
    </row>
    <row r="119" spans="1:46" s="43" customFormat="1" ht="16.5">
      <c r="A119"/>
      <c r="B119" s="9" t="s">
        <v>168</v>
      </c>
      <c r="C119" s="9" t="s">
        <v>240</v>
      </c>
      <c r="D119" s="50">
        <v>-14471.535080850001</v>
      </c>
      <c r="E119" s="50">
        <v>-16211.422380150001</v>
      </c>
      <c r="F119" s="50">
        <v>-15394.19142675</v>
      </c>
      <c r="G119" s="50">
        <v>-16338.536995690001</v>
      </c>
      <c r="H119" s="50">
        <v>-14727.384984899998</v>
      </c>
      <c r="I119" s="50">
        <v>-17298.825815880002</v>
      </c>
      <c r="J119" s="50">
        <v>-18827.52352712</v>
      </c>
      <c r="K119" s="50">
        <v>-17984.545972899999</v>
      </c>
      <c r="L119" s="50">
        <v>-17127.560000000001</v>
      </c>
      <c r="M119" s="50">
        <v>-19256.758000000002</v>
      </c>
      <c r="N119" s="50">
        <v>-18997.02</v>
      </c>
      <c r="O119" s="50">
        <v>-20286.797514000002</v>
      </c>
      <c r="P119" s="50">
        <v>-20845.675999999999</v>
      </c>
      <c r="Q119" s="50">
        <v>-22569.367999999999</v>
      </c>
      <c r="R119" s="50">
        <v>-24869.376</v>
      </c>
      <c r="S119" s="50">
        <v>-26128.26840302</v>
      </c>
      <c r="T119" s="50">
        <v>-26266.45444632</v>
      </c>
      <c r="U119" s="50">
        <v>-27062.984085299999</v>
      </c>
      <c r="V119" s="50">
        <v>-28358.400000000001</v>
      </c>
      <c r="W119" s="50">
        <v>-32155.529739240003</v>
      </c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53"/>
      <c r="AK119" s="50">
        <f>SUM(D119:G119)</f>
        <v>-62415.685883440005</v>
      </c>
      <c r="AL119" s="50">
        <f>SUM(H119:K119)</f>
        <v>-68838.28030079999</v>
      </c>
      <c r="AM119" s="50">
        <f>SUM(L119:O119)</f>
        <v>-75668.135514000009</v>
      </c>
      <c r="AN119" s="50">
        <f>SUM(P119:S119)</f>
        <v>-94412.688403020002</v>
      </c>
      <c r="AO119" s="50">
        <f>SUM(T119:W119)</f>
        <v>-113843.36827086</v>
      </c>
      <c r="AP119" s="29"/>
      <c r="AQ119" s="29"/>
      <c r="AR119" s="29"/>
      <c r="AS119" s="53"/>
      <c r="AT119" s="53"/>
    </row>
    <row r="120" spans="1:46" ht="16.5">
      <c r="B120" s="57" t="s">
        <v>80</v>
      </c>
      <c r="C120" s="57" t="s">
        <v>241</v>
      </c>
      <c r="D120" s="62">
        <f t="shared" ref="D120:R120" si="191">D118+D119</f>
        <v>990.37891915</v>
      </c>
      <c r="E120" s="62">
        <f t="shared" si="191"/>
        <v>1546.3306198499995</v>
      </c>
      <c r="F120" s="62">
        <f t="shared" si="191"/>
        <v>2114.1405732499989</v>
      </c>
      <c r="G120" s="62">
        <f t="shared" si="191"/>
        <v>2122.3600043099996</v>
      </c>
      <c r="H120" s="62">
        <f t="shared" si="191"/>
        <v>1686.6620151000006</v>
      </c>
      <c r="I120" s="62">
        <f t="shared" si="191"/>
        <v>2883.2521841199996</v>
      </c>
      <c r="J120" s="62">
        <f t="shared" si="191"/>
        <v>2624.0934728799984</v>
      </c>
      <c r="K120" s="62">
        <f t="shared" si="191"/>
        <v>2611.849027100001</v>
      </c>
      <c r="L120" s="62">
        <f t="shared" si="191"/>
        <v>1758.5529999999999</v>
      </c>
      <c r="M120" s="62">
        <f t="shared" si="191"/>
        <v>2837.0629999999983</v>
      </c>
      <c r="N120" s="62">
        <f t="shared" si="191"/>
        <v>3356.2659999999996</v>
      </c>
      <c r="O120" s="62">
        <f t="shared" si="191"/>
        <v>3582.5734836946976</v>
      </c>
      <c r="P120" s="62">
        <f t="shared" si="191"/>
        <v>2166.8290000000015</v>
      </c>
      <c r="Q120" s="62">
        <f t="shared" si="191"/>
        <v>7493.6620000000003</v>
      </c>
      <c r="R120" s="62">
        <f t="shared" si="191"/>
        <v>3888.1769999999997</v>
      </c>
      <c r="S120" s="62">
        <f>S118+S119</f>
        <v>4158.9335940810997</v>
      </c>
      <c r="T120" s="62">
        <v>4152.5620334070991</v>
      </c>
      <c r="U120" s="62">
        <v>8648.2229147000035</v>
      </c>
      <c r="V120" s="62">
        <v>10229.5</v>
      </c>
      <c r="W120" s="62">
        <v>9719.0662096980013</v>
      </c>
      <c r="AK120" s="62">
        <f>SUM(AK118:AK119)</f>
        <v>6773.2101165599888</v>
      </c>
      <c r="AL120" s="62">
        <f t="shared" ref="AL120" si="192">SUM(AL118:AL119)</f>
        <v>9805.8566992000124</v>
      </c>
      <c r="AM120" s="62">
        <f t="shared" ref="AM120" si="193">SUM(AM118:AM119)</f>
        <v>11534.455483694692</v>
      </c>
      <c r="AN120" s="62">
        <f t="shared" ref="AN120" si="194">SUM(AN118:AN119)</f>
        <v>17707.601594081105</v>
      </c>
      <c r="AO120" s="62">
        <f t="shared" ref="AO120" si="195">SUM(AO118:AO119)</f>
        <v>32749.351157805126</v>
      </c>
    </row>
    <row r="121" spans="1:46" ht="16.5">
      <c r="B121" s="57" t="s">
        <v>169</v>
      </c>
      <c r="C121" s="57" t="s">
        <v>290</v>
      </c>
      <c r="D121" s="68">
        <f>D120/D118</f>
        <v>6.4052802204824053E-2</v>
      </c>
      <c r="E121" s="68">
        <f>E120/E118</f>
        <v>8.7079182813839084E-2</v>
      </c>
      <c r="F121" s="68">
        <f>F120/F118</f>
        <v>0.12075054169923206</v>
      </c>
      <c r="G121" s="68">
        <f>G120/G118</f>
        <v>0.11496516146046422</v>
      </c>
      <c r="H121" s="68">
        <f>H120/H118</f>
        <v>0.10275723074876054</v>
      </c>
      <c r="I121" s="68">
        <f t="shared" ref="I121:W121" si="196">I120/I118</f>
        <v>0.14286200777343142</v>
      </c>
      <c r="J121" s="68">
        <f t="shared" si="196"/>
        <v>0.12232613853212085</v>
      </c>
      <c r="K121" s="68">
        <f t="shared" si="196"/>
        <v>0.12681097964473884</v>
      </c>
      <c r="L121" s="68">
        <f t="shared" si="196"/>
        <v>9.3113548563433873E-2</v>
      </c>
      <c r="M121" s="68">
        <f t="shared" si="196"/>
        <v>0.12840979385141205</v>
      </c>
      <c r="N121" s="68">
        <f t="shared" si="196"/>
        <v>0.15014642589908256</v>
      </c>
      <c r="O121" s="68">
        <f t="shared" si="196"/>
        <v>0.15009082074432134</v>
      </c>
      <c r="P121" s="68">
        <f t="shared" si="196"/>
        <v>9.4158762811784355E-2</v>
      </c>
      <c r="Q121" s="68">
        <f t="shared" si="196"/>
        <v>0.24926502751053373</v>
      </c>
      <c r="R121" s="68">
        <f t="shared" si="196"/>
        <v>0.13520541890333992</v>
      </c>
      <c r="S121" s="68">
        <f t="shared" si="196"/>
        <v>0.13731653371213248</v>
      </c>
      <c r="T121" s="68">
        <f t="shared" si="196"/>
        <v>0.13651204128097286</v>
      </c>
      <c r="U121" s="68">
        <f t="shared" si="196"/>
        <v>0.24217111773063293</v>
      </c>
      <c r="V121" s="68">
        <f t="shared" si="196"/>
        <v>0.26509605342607395</v>
      </c>
      <c r="W121" s="68">
        <f t="shared" si="196"/>
        <v>0.2320993430372309</v>
      </c>
      <c r="AK121" s="68">
        <f>AK120/AK118</f>
        <v>9.7894467293711249E-2</v>
      </c>
      <c r="AL121" s="68">
        <f t="shared" ref="AL121" si="197">AL120/AL118</f>
        <v>0.1246864302064884</v>
      </c>
      <c r="AM121" s="68">
        <f t="shared" ref="AM121" si="198">AM120/AM118</f>
        <v>0.1322719354061351</v>
      </c>
      <c r="AN121" s="68">
        <f t="shared" ref="AN121" si="199">AN120/AN118</f>
        <v>0.15793396177033558</v>
      </c>
      <c r="AO121" s="68">
        <f t="shared" ref="AO121" si="200">AO120/AO118</f>
        <v>0.22340366755895813</v>
      </c>
    </row>
    <row r="122" spans="1:46" ht="16.5">
      <c r="B122" s="2"/>
      <c r="C122" s="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AK122" s="51"/>
      <c r="AL122" s="51"/>
      <c r="AM122" s="51"/>
      <c r="AN122" s="51"/>
      <c r="AO122" s="51"/>
    </row>
    <row r="123" spans="1:46" ht="16.5">
      <c r="B123" s="57" t="s">
        <v>0</v>
      </c>
      <c r="C123" s="57" t="s">
        <v>0</v>
      </c>
      <c r="D123" s="67"/>
      <c r="E123" s="67"/>
      <c r="F123" s="67"/>
      <c r="G123" s="67"/>
      <c r="H123" s="67">
        <v>858.77600000000007</v>
      </c>
      <c r="I123" s="67">
        <v>1915.1369999999999</v>
      </c>
      <c r="J123" s="67">
        <v>1424.146</v>
      </c>
      <c r="K123" s="67">
        <v>1433.1290000000006</v>
      </c>
      <c r="L123" s="67">
        <v>761.63800000000003</v>
      </c>
      <c r="M123" s="67">
        <v>1767.6489999999999</v>
      </c>
      <c r="N123" s="67">
        <v>2132.9929999999999</v>
      </c>
      <c r="O123" s="67">
        <v>2358.7060000000001</v>
      </c>
      <c r="P123" s="67">
        <v>822.59299999999996</v>
      </c>
      <c r="Q123" s="67">
        <v>5897.4070000000002</v>
      </c>
      <c r="R123" s="67">
        <v>2420.0502308476102</v>
      </c>
      <c r="S123" s="67">
        <v>2414.5992144994884</v>
      </c>
      <c r="T123" s="67">
        <v>2384.866</v>
      </c>
      <c r="U123" s="67">
        <v>6689.0290000000005</v>
      </c>
      <c r="V123" s="67">
        <v>8034.5259999999998</v>
      </c>
      <c r="W123" s="67">
        <v>7367.2979999999998</v>
      </c>
      <c r="AK123" s="67">
        <f>SUM(D123:G123)</f>
        <v>0</v>
      </c>
      <c r="AL123" s="67">
        <f>SUM(H123:K123)</f>
        <v>5631.188000000001</v>
      </c>
      <c r="AM123" s="67">
        <f>SUM(L123:O123)</f>
        <v>7020.9859999999999</v>
      </c>
      <c r="AN123" s="67">
        <f>SUM(P123:S123)</f>
        <v>11554.649445347099</v>
      </c>
      <c r="AO123" s="67">
        <f>SUM(T123:W123)</f>
        <v>24475.719000000001</v>
      </c>
    </row>
    <row r="124" spans="1:46" ht="16.5">
      <c r="B124" s="57" t="s">
        <v>170</v>
      </c>
      <c r="C124" s="57" t="s">
        <v>291</v>
      </c>
      <c r="D124" s="68"/>
      <c r="E124" s="68"/>
      <c r="F124" s="68"/>
      <c r="G124" s="68"/>
      <c r="H124" s="68">
        <f t="shared" ref="H124:W124" si="201">H123/H118</f>
        <v>5.2319577249900655E-2</v>
      </c>
      <c r="I124" s="68">
        <f t="shared" si="201"/>
        <v>9.4892954035753888E-2</v>
      </c>
      <c r="J124" s="68">
        <f t="shared" si="201"/>
        <v>6.6388748223502228E-2</v>
      </c>
      <c r="K124" s="68">
        <f t="shared" si="201"/>
        <v>6.9581545702536801E-2</v>
      </c>
      <c r="L124" s="68">
        <f t="shared" si="201"/>
        <v>4.0327938311075444E-2</v>
      </c>
      <c r="M124" s="68">
        <f t="shared" si="201"/>
        <v>8.0006486881558425E-2</v>
      </c>
      <c r="N124" s="68">
        <f t="shared" si="201"/>
        <v>9.5421899044283692E-2</v>
      </c>
      <c r="O124" s="68">
        <f t="shared" si="201"/>
        <v>9.8817266706684628E-2</v>
      </c>
      <c r="P124" s="68">
        <f t="shared" si="201"/>
        <v>3.5745478382296927E-2</v>
      </c>
      <c r="Q124" s="68">
        <f t="shared" si="201"/>
        <v>0.19616808418845341</v>
      </c>
      <c r="R124" s="68">
        <f t="shared" si="201"/>
        <v>8.4153551967638213E-2</v>
      </c>
      <c r="S124" s="68">
        <f t="shared" si="201"/>
        <v>7.9723416337058761E-2</v>
      </c>
      <c r="T124" s="68">
        <f t="shared" si="201"/>
        <v>7.8400496662651975E-2</v>
      </c>
      <c r="U124" s="68">
        <f t="shared" si="201"/>
        <v>0.18730895878148279</v>
      </c>
      <c r="V124" s="68">
        <f t="shared" si="201"/>
        <v>0.20821361100241267</v>
      </c>
      <c r="W124" s="68">
        <f t="shared" si="201"/>
        <v>0.17593717224122479</v>
      </c>
      <c r="AK124" s="68">
        <f>AK123/AK118</f>
        <v>0</v>
      </c>
      <c r="AL124" s="68">
        <f t="shared" ref="AL124" si="202">AL123/AL118</f>
        <v>7.1603405095538156E-2</v>
      </c>
      <c r="AM124" s="68">
        <f t="shared" ref="AM124" si="203">AM123/AM118</f>
        <v>8.0513502175475579E-2</v>
      </c>
      <c r="AN124" s="68">
        <f t="shared" ref="AN124" si="204">AN123/AN118</f>
        <v>0.10305582910680883</v>
      </c>
      <c r="AO124" s="68">
        <f t="shared" ref="AO124" si="205">AO123/AO118</f>
        <v>0.16696408317815786</v>
      </c>
    </row>
    <row r="125" spans="1:46" ht="16.5">
      <c r="B125" s="4"/>
      <c r="C125" s="4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AK125" s="51"/>
      <c r="AL125" s="51"/>
      <c r="AM125" s="51"/>
      <c r="AN125" s="51"/>
      <c r="AO125" s="51"/>
    </row>
    <row r="126" spans="1:46" ht="16.5">
      <c r="B126" s="57" t="s">
        <v>1</v>
      </c>
      <c r="C126" s="57" t="s">
        <v>1</v>
      </c>
      <c r="D126" s="62">
        <v>431.92099999999999</v>
      </c>
      <c r="E126" s="62">
        <v>925.25099999999998</v>
      </c>
      <c r="F126" s="62">
        <v>1415.867</v>
      </c>
      <c r="G126" s="62">
        <v>1336.59</v>
      </c>
      <c r="H126" s="62">
        <v>1023.943</v>
      </c>
      <c r="I126" s="62">
        <v>2080.6080000000002</v>
      </c>
      <c r="J126" s="62">
        <v>1605.402</v>
      </c>
      <c r="K126" s="62">
        <v>1601.9169999999999</v>
      </c>
      <c r="L126" s="62">
        <v>986.58</v>
      </c>
      <c r="M126" s="62">
        <v>2023.5809999999999</v>
      </c>
      <c r="N126" s="62">
        <v>2391.067</v>
      </c>
      <c r="O126" s="62">
        <v>2613.0894655472998</v>
      </c>
      <c r="P126" s="62">
        <v>1097.721</v>
      </c>
      <c r="Q126" s="62">
        <v>6246.2929999999997</v>
      </c>
      <c r="R126" s="62">
        <v>2772.826</v>
      </c>
      <c r="S126" s="62">
        <v>2784.72774604092</v>
      </c>
      <c r="T126" s="62">
        <v>2728.2061161450201</v>
      </c>
      <c r="U126" s="62">
        <v>7057.7377856857402</v>
      </c>
      <c r="V126" s="62">
        <v>8426.9</v>
      </c>
      <c r="W126" s="62">
        <v>7797.3112140402272</v>
      </c>
      <c r="AK126" s="62">
        <f>SUM(D126:G126)</f>
        <v>4109.6289999999999</v>
      </c>
      <c r="AL126" s="62">
        <f>SUM(H126:K126)</f>
        <v>6311.8700000000008</v>
      </c>
      <c r="AM126" s="62">
        <f>SUM(L126:O126)</f>
        <v>8014.3174655472994</v>
      </c>
      <c r="AN126" s="62">
        <f>SUM(P126:S126)</f>
        <v>12901.567746040921</v>
      </c>
      <c r="AO126" s="62">
        <f>SUM(T126:W126)</f>
        <v>26010.155115870988</v>
      </c>
    </row>
    <row r="127" spans="1:46" ht="16.5">
      <c r="B127" s="57" t="s">
        <v>97</v>
      </c>
      <c r="C127" s="57" t="s">
        <v>237</v>
      </c>
      <c r="D127" s="68">
        <f t="shared" ref="D127:R127" si="206">D126/D118</f>
        <v>2.7934510565768247E-2</v>
      </c>
      <c r="E127" s="68">
        <f t="shared" si="206"/>
        <v>5.2104058435771684E-2</v>
      </c>
      <c r="F127" s="68">
        <f t="shared" si="206"/>
        <v>8.0868183216996348E-2</v>
      </c>
      <c r="G127" s="68">
        <f t="shared" si="206"/>
        <v>7.2401140637965739E-2</v>
      </c>
      <c r="H127" s="68">
        <f t="shared" si="206"/>
        <v>6.2382116975783004E-2</v>
      </c>
      <c r="I127" s="68">
        <f t="shared" si="206"/>
        <v>0.10309186199756042</v>
      </c>
      <c r="J127" s="68">
        <f t="shared" si="206"/>
        <v>7.4838274429382179E-2</v>
      </c>
      <c r="K127" s="68">
        <f t="shared" si="206"/>
        <v>7.7776572065159935E-2</v>
      </c>
      <c r="L127" s="68">
        <f t="shared" si="206"/>
        <v>5.2238382773628432E-2</v>
      </c>
      <c r="M127" s="68">
        <f t="shared" si="206"/>
        <v>9.1590359132537547E-2</v>
      </c>
      <c r="N127" s="68">
        <f t="shared" si="206"/>
        <v>0.10696713673327492</v>
      </c>
      <c r="O127" s="68">
        <f t="shared" si="206"/>
        <v>0.10947458421923525</v>
      </c>
      <c r="P127" s="68">
        <f t="shared" si="206"/>
        <v>4.7701065138280249E-2</v>
      </c>
      <c r="Q127" s="68">
        <f t="shared" si="206"/>
        <v>0.20777323509972215</v>
      </c>
      <c r="R127" s="68">
        <f t="shared" si="206"/>
        <v>9.6420790739740622E-2</v>
      </c>
      <c r="S127" s="68">
        <f>S126/S118</f>
        <v>9.1944041126924059E-2</v>
      </c>
      <c r="T127" s="68">
        <f>T126/T118</f>
        <v>8.96875189230147E-2</v>
      </c>
      <c r="U127" s="68">
        <f>U126/U118</f>
        <v>0.19763369481422849</v>
      </c>
      <c r="V127" s="68">
        <f>V126/V118</f>
        <v>0.21838192801370376</v>
      </c>
      <c r="W127" s="68">
        <f>W126/W118</f>
        <v>0.18620624360288252</v>
      </c>
      <c r="AK127" s="68">
        <f>AK126/AK118</f>
        <v>5.9397233336401269E-2</v>
      </c>
      <c r="AL127" s="68">
        <f t="shared" ref="AL127" si="207">AL126/AL118</f>
        <v>8.0258621186217613E-2</v>
      </c>
      <c r="AM127" s="68">
        <f t="shared" ref="AM127" si="208">AM126/AM118</f>
        <v>9.1904579598548475E-2</v>
      </c>
      <c r="AN127" s="68">
        <f t="shared" ref="AN127" si="209">AN126/AN118</f>
        <v>0.11506898302148963</v>
      </c>
      <c r="AO127" s="68">
        <f t="shared" ref="AO127" si="210">AO126/AO118</f>
        <v>0.17743142508880216</v>
      </c>
    </row>
  </sheetData>
  <pageMargins left="0.511811024" right="0.511811024" top="0.78740157499999996" bottom="0.78740157499999996" header="0.31496062000000002" footer="0.31496062000000002"/>
  <pageSetup paperSize="9" scale="29" orientation="portrait" r:id="rId1"/>
  <ignoredErrors>
    <ignoredError sqref="Y7:AR127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>
    <tabColor rgb="FF0070C0"/>
    <pageSetUpPr fitToPage="1"/>
  </sheetPr>
  <dimension ref="A1:AS70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8.85546875" defaultRowHeight="15" outlineLevelCol="1"/>
  <cols>
    <col min="1" max="1" width="0.85546875" customWidth="1"/>
    <col min="2" max="2" width="50.5703125" customWidth="1" outlineLevel="1"/>
    <col min="3" max="3" width="50.5703125" customWidth="1"/>
    <col min="4" max="5" width="10.140625" hidden="1" customWidth="1" outlineLevel="1"/>
    <col min="6" max="6" width="9.85546875" hidden="1" customWidth="1" outlineLevel="1"/>
    <col min="7" max="23" width="14.140625" hidden="1" customWidth="1" outlineLevel="1"/>
    <col min="24" max="24" width="14.140625" customWidth="1" collapsed="1"/>
    <col min="25" max="35" width="14.140625" customWidth="1"/>
    <col min="36" max="36" width="3.5703125" customWidth="1"/>
    <col min="37" max="40" width="14.140625" hidden="1" customWidth="1" outlineLevel="1"/>
    <col min="41" max="41" width="14.140625" customWidth="1" collapsed="1"/>
    <col min="42" max="66" width="14.140625" customWidth="1"/>
  </cols>
  <sheetData>
    <row r="1" spans="1:44" ht="1.5" customHeight="1"/>
    <row r="2" spans="1:44" ht="60" customHeight="1">
      <c r="AI2" s="154"/>
    </row>
    <row r="3" spans="1:44" ht="3" customHeight="1"/>
    <row r="4" spans="1:44" s="4" customFormat="1" ht="16.5">
      <c r="A4"/>
      <c r="B4" s="2" t="s">
        <v>173</v>
      </c>
      <c r="C4" s="2" t="s">
        <v>293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K4" s="2"/>
      <c r="AL4" s="2"/>
      <c r="AM4" s="2"/>
      <c r="AN4" s="2"/>
      <c r="AO4" s="2"/>
      <c r="AP4" s="2"/>
      <c r="AQ4" s="2"/>
      <c r="AR4" s="2"/>
    </row>
    <row r="5" spans="1:44" s="4" customFormat="1" ht="16.5">
      <c r="A5"/>
      <c r="B5" s="6" t="s">
        <v>192</v>
      </c>
      <c r="C5" s="6" t="s">
        <v>192</v>
      </c>
      <c r="D5" s="7" t="s">
        <v>20</v>
      </c>
      <c r="E5" s="8" t="s">
        <v>21</v>
      </c>
      <c r="F5" s="7" t="s">
        <v>22</v>
      </c>
      <c r="G5" s="7" t="s">
        <v>23</v>
      </c>
      <c r="H5" s="7" t="s">
        <v>24</v>
      </c>
      <c r="I5" s="8" t="s">
        <v>25</v>
      </c>
      <c r="J5" s="8" t="s">
        <v>26</v>
      </c>
      <c r="K5" s="8" t="s">
        <v>27</v>
      </c>
      <c r="L5" s="8" t="s">
        <v>28</v>
      </c>
      <c r="M5" s="8" t="s">
        <v>29</v>
      </c>
      <c r="N5" s="8" t="s">
        <v>30</v>
      </c>
      <c r="O5" s="8" t="s">
        <v>31</v>
      </c>
      <c r="P5" s="8" t="s">
        <v>32</v>
      </c>
      <c r="Q5" s="8" t="s">
        <v>33</v>
      </c>
      <c r="R5" s="8" t="s">
        <v>34</v>
      </c>
      <c r="S5" s="17" t="s">
        <v>35</v>
      </c>
      <c r="T5" s="17" t="s">
        <v>36</v>
      </c>
      <c r="U5" s="17" t="s">
        <v>183</v>
      </c>
      <c r="V5" s="17" t="s">
        <v>187</v>
      </c>
      <c r="W5" s="17" t="s">
        <v>188</v>
      </c>
      <c r="X5" s="17" t="s">
        <v>189</v>
      </c>
      <c r="Y5" s="17" t="s">
        <v>302</v>
      </c>
      <c r="Z5" s="17" t="s">
        <v>354</v>
      </c>
      <c r="AA5" s="17" t="s">
        <v>355</v>
      </c>
      <c r="AB5" s="17" t="s">
        <v>393</v>
      </c>
      <c r="AC5" s="17" t="s">
        <v>398</v>
      </c>
      <c r="AD5" s="17" t="s">
        <v>428</v>
      </c>
      <c r="AE5" s="17" t="s">
        <v>435</v>
      </c>
      <c r="AF5" s="17" t="s">
        <v>438</v>
      </c>
      <c r="AG5" s="17" t="s">
        <v>439</v>
      </c>
      <c r="AH5" s="17" t="s">
        <v>442</v>
      </c>
      <c r="AI5" s="17" t="s">
        <v>443</v>
      </c>
      <c r="AK5" s="117" t="s">
        <v>357</v>
      </c>
      <c r="AL5" s="117" t="s">
        <v>358</v>
      </c>
      <c r="AM5" s="117" t="s">
        <v>359</v>
      </c>
      <c r="AN5" s="117" t="s">
        <v>360</v>
      </c>
      <c r="AO5" s="117" t="s">
        <v>361</v>
      </c>
      <c r="AP5" s="117" t="s">
        <v>362</v>
      </c>
      <c r="AQ5" s="148">
        <v>2023</v>
      </c>
      <c r="AR5" s="148">
        <v>2024</v>
      </c>
    </row>
    <row r="6" spans="1:44" ht="16.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K6" s="12"/>
      <c r="AL6" s="12"/>
      <c r="AM6" s="12"/>
      <c r="AN6" s="12"/>
      <c r="AO6" s="12"/>
      <c r="AP6" s="12"/>
      <c r="AQ6" s="12"/>
      <c r="AR6" s="12"/>
    </row>
    <row r="7" spans="1:44" s="4" customFormat="1" ht="16.5">
      <c r="A7"/>
      <c r="B7" s="57" t="s">
        <v>78</v>
      </c>
      <c r="C7" s="57" t="s">
        <v>239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>
        <v>4352.8</v>
      </c>
      <c r="U7" s="60">
        <v>5377.9</v>
      </c>
      <c r="V7" s="60">
        <f>22630.5-U7-W7-X7</f>
        <v>5859.5999999999976</v>
      </c>
      <c r="W7" s="60">
        <v>5853.2</v>
      </c>
      <c r="X7" s="60">
        <v>5539.8</v>
      </c>
      <c r="Y7" s="60">
        <v>5521.6</v>
      </c>
      <c r="Z7" s="60">
        <v>5554.1</v>
      </c>
      <c r="AA7" s="60">
        <v>5453.6</v>
      </c>
      <c r="AB7" s="60">
        <v>5266.4</v>
      </c>
      <c r="AC7" s="60">
        <v>5810.55</v>
      </c>
      <c r="AD7" s="60">
        <v>5953.2</v>
      </c>
      <c r="AE7" s="60">
        <v>6272.9</v>
      </c>
      <c r="AF7" s="60">
        <v>5581.0999999999995</v>
      </c>
      <c r="AG7" s="60">
        <v>5992.4000000000005</v>
      </c>
      <c r="AH7" s="60">
        <v>6312.7</v>
      </c>
      <c r="AI7" s="60">
        <v>6399.5999999999995</v>
      </c>
      <c r="AK7" s="60">
        <f>SUM(D7:G7)</f>
        <v>0</v>
      </c>
      <c r="AL7" s="60">
        <f>SUM(H7:K7)</f>
        <v>0</v>
      </c>
      <c r="AM7" s="60">
        <f>SUM(L7:O7)</f>
        <v>0</v>
      </c>
      <c r="AN7" s="60">
        <f>SUM(P7:S7)</f>
        <v>0</v>
      </c>
      <c r="AO7" s="60">
        <f>SUM(T7:W7)</f>
        <v>21443.5</v>
      </c>
      <c r="AP7" s="60">
        <f>SUM(X7:AA7)</f>
        <v>22069.1</v>
      </c>
      <c r="AQ7" s="60">
        <f>SUM(AB7:AE7)</f>
        <v>23303.050000000003</v>
      </c>
      <c r="AR7" s="60">
        <f>SUM(AF7:AI7)</f>
        <v>24285.8</v>
      </c>
    </row>
    <row r="8" spans="1:44" s="9" customFormat="1" ht="16.5">
      <c r="A8"/>
      <c r="B8" s="9" t="s">
        <v>168</v>
      </c>
      <c r="C8" s="9" t="s">
        <v>318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>
        <v>-3787.3</v>
      </c>
      <c r="U8" s="10">
        <v>-3966.1</v>
      </c>
      <c r="V8" s="10">
        <f>-17486.9-U8-W8-X8</f>
        <v>-4282.3000000000011</v>
      </c>
      <c r="W8" s="10">
        <v>-4562.3999999999996</v>
      </c>
      <c r="X8" s="10">
        <v>-4676.1000000000004</v>
      </c>
      <c r="Y8" s="10">
        <v>-4869.0999999999995</v>
      </c>
      <c r="Z8" s="10">
        <v>-5094.8999999999996</v>
      </c>
      <c r="AA8" s="10">
        <v>-5291.2000000000007</v>
      </c>
      <c r="AB8" s="10">
        <v>-5246.9</v>
      </c>
      <c r="AC8" s="10">
        <v>-5693.8</v>
      </c>
      <c r="AD8" s="10">
        <v>-5796.3</v>
      </c>
      <c r="AE8" s="10">
        <v>-6369.6</v>
      </c>
      <c r="AF8" s="10">
        <v>-5539</v>
      </c>
      <c r="AG8" s="10">
        <v>-5950.7000000000007</v>
      </c>
      <c r="AH8" s="10">
        <v>-6229.5</v>
      </c>
      <c r="AI8" s="10">
        <v>-6291.9</v>
      </c>
      <c r="AK8" s="10">
        <f>SUM(D8:G8)</f>
        <v>0</v>
      </c>
      <c r="AL8" s="10">
        <f>SUM(H8:K8)</f>
        <v>0</v>
      </c>
      <c r="AM8" s="10">
        <f>SUM(L8:O8)</f>
        <v>0</v>
      </c>
      <c r="AN8" s="10">
        <f>SUM(P8:S8)</f>
        <v>0</v>
      </c>
      <c r="AO8" s="10">
        <f>SUM(T8:W8)</f>
        <v>-16598.099999999999</v>
      </c>
      <c r="AP8" s="10">
        <f>SUM(X8:AA8)</f>
        <v>-19931.300000000003</v>
      </c>
      <c r="AQ8" s="10">
        <f>SUM(AB8:AE8)</f>
        <v>-23106.6</v>
      </c>
      <c r="AR8" s="10">
        <f>SUM(AF8:AI8)</f>
        <v>-24011.1</v>
      </c>
    </row>
    <row r="9" spans="1:44" s="4" customFormat="1" ht="16.5">
      <c r="A9"/>
      <c r="B9" s="57" t="s">
        <v>80</v>
      </c>
      <c r="C9" s="57" t="s">
        <v>319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>
        <v>565.5</v>
      </c>
      <c r="U9" s="56">
        <v>1411.7999999999997</v>
      </c>
      <c r="V9" s="56">
        <f>SUM(V7:V8)</f>
        <v>1577.2999999999965</v>
      </c>
      <c r="W9" s="56">
        <f>SUM(W7:W8)</f>
        <v>1290.8000000000002</v>
      </c>
      <c r="X9" s="56">
        <v>863.69999999999982</v>
      </c>
      <c r="Y9" s="56">
        <v>652.50000000000091</v>
      </c>
      <c r="Z9" s="56">
        <v>459.20000000000073</v>
      </c>
      <c r="AA9" s="56">
        <v>162.39999999999964</v>
      </c>
      <c r="AB9" s="56">
        <v>19.5</v>
      </c>
      <c r="AC9" s="56">
        <v>116.75</v>
      </c>
      <c r="AD9" s="56">
        <v>156.89999999999964</v>
      </c>
      <c r="AE9" s="56">
        <v>-96.700000000000728</v>
      </c>
      <c r="AF9" s="56">
        <f>SUM(AF7:AF8)</f>
        <v>42.099999999999454</v>
      </c>
      <c r="AG9" s="56">
        <f>SUM(AG7:AG8)</f>
        <v>41.699999999999818</v>
      </c>
      <c r="AH9" s="56">
        <f>SUM(AH7:AH8)</f>
        <v>83.199999999999818</v>
      </c>
      <c r="AI9" s="56">
        <f>SUM(AI7:AI8)</f>
        <v>107.69999999999982</v>
      </c>
      <c r="AK9" s="56">
        <f>SUM(AK7:AK8)</f>
        <v>0</v>
      </c>
      <c r="AL9" s="56">
        <f t="shared" ref="AL9:AP9" si="0">SUM(AL7:AL8)</f>
        <v>0</v>
      </c>
      <c r="AM9" s="56">
        <f t="shared" si="0"/>
        <v>0</v>
      </c>
      <c r="AN9" s="56">
        <f t="shared" si="0"/>
        <v>0</v>
      </c>
      <c r="AO9" s="56">
        <f t="shared" si="0"/>
        <v>4845.4000000000015</v>
      </c>
      <c r="AP9" s="56">
        <f t="shared" si="0"/>
        <v>2137.7999999999956</v>
      </c>
      <c r="AQ9" s="56">
        <f>SUM(AB9:AE9)</f>
        <v>196.44999999999891</v>
      </c>
      <c r="AR9" s="56">
        <f>SUM(AF9:AI9)</f>
        <v>274.69999999999891</v>
      </c>
    </row>
    <row r="10" spans="1:44" s="4" customFormat="1" ht="16.5">
      <c r="A10"/>
      <c r="B10" s="57" t="s">
        <v>169</v>
      </c>
      <c r="C10" s="57" t="s">
        <v>290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>
        <f>IFERROR(T9/T7,0)</f>
        <v>0.12991637566623782</v>
      </c>
      <c r="U10" s="69">
        <f t="shared" ref="U10:AB10" si="1">IFERROR(U9/U7,0)</f>
        <v>0.2625188270514513</v>
      </c>
      <c r="V10" s="69">
        <f t="shared" si="1"/>
        <v>0.26918219673697813</v>
      </c>
      <c r="W10" s="69">
        <f t="shared" si="1"/>
        <v>0.22052894143374568</v>
      </c>
      <c r="X10" s="69">
        <f t="shared" si="1"/>
        <v>0.15590815552908044</v>
      </c>
      <c r="Y10" s="69">
        <f t="shared" si="1"/>
        <v>0.11817226890756319</v>
      </c>
      <c r="Z10" s="69">
        <f t="shared" si="1"/>
        <v>8.2677661547325532E-2</v>
      </c>
      <c r="AA10" s="69">
        <f t="shared" si="1"/>
        <v>2.9778494939122713E-2</v>
      </c>
      <c r="AB10" s="69">
        <f t="shared" si="1"/>
        <v>3.7027191250189884E-3</v>
      </c>
      <c r="AC10" s="69">
        <f t="shared" ref="AC10:AN10" si="2">IFERROR(AC9/AC7,0)</f>
        <v>2.0092762303052205E-2</v>
      </c>
      <c r="AD10" s="69">
        <f t="shared" si="2"/>
        <v>2.6355573473090043E-2</v>
      </c>
      <c r="AE10" s="69">
        <f t="shared" si="2"/>
        <v>-1.5415517543719927E-2</v>
      </c>
      <c r="AF10" s="69">
        <f t="shared" si="2"/>
        <v>7.5433158337961078E-3</v>
      </c>
      <c r="AG10" s="69">
        <f t="shared" si="2"/>
        <v>6.9588144983645638E-3</v>
      </c>
      <c r="AH10" s="69">
        <f t="shared" si="2"/>
        <v>1.317978044259981E-2</v>
      </c>
      <c r="AI10" s="69">
        <f t="shared" si="2"/>
        <v>1.6829176823551444E-2</v>
      </c>
      <c r="AJ10" s="69"/>
      <c r="AK10" s="69">
        <f t="shared" si="2"/>
        <v>0</v>
      </c>
      <c r="AL10" s="69">
        <f t="shared" si="2"/>
        <v>0</v>
      </c>
      <c r="AM10" s="69">
        <f t="shared" si="2"/>
        <v>0</v>
      </c>
      <c r="AN10" s="69">
        <f t="shared" si="2"/>
        <v>0</v>
      </c>
      <c r="AO10" s="69">
        <f t="shared" ref="AO10" si="3">IFERROR(AO9/AO7,0)</f>
        <v>0.22596124699792486</v>
      </c>
      <c r="AP10" s="69">
        <f>IFERROR(AP9/AP7,0)</f>
        <v>9.6868472207747289E-2</v>
      </c>
      <c r="AQ10" s="69">
        <f>IFERROR(AQ9/AQ7,0)</f>
        <v>8.4302269445415464E-3</v>
      </c>
      <c r="AR10" s="69">
        <f>IFERROR(AR9/AR7,0)</f>
        <v>1.1311136548929783E-2</v>
      </c>
    </row>
    <row r="11" spans="1:44" s="4" customFormat="1" ht="16.5">
      <c r="A11"/>
      <c r="B11" s="2"/>
      <c r="C11" s="2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K11" s="28"/>
      <c r="AL11" s="28"/>
      <c r="AM11" s="28"/>
      <c r="AN11" s="28"/>
      <c r="AO11" s="28"/>
      <c r="AP11" s="28"/>
      <c r="AQ11" s="28"/>
      <c r="AR11" s="28"/>
    </row>
    <row r="12" spans="1:44" s="4" customFormat="1" ht="16.5">
      <c r="A12"/>
      <c r="B12" s="57" t="s">
        <v>0</v>
      </c>
      <c r="C12" s="57" t="s">
        <v>0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>
        <v>491.70000000000005</v>
      </c>
      <c r="U12" s="56">
        <v>1308.8</v>
      </c>
      <c r="V12" s="56">
        <v>1457.1000000000001</v>
      </c>
      <c r="W12" s="56">
        <v>1201</v>
      </c>
      <c r="X12" s="56">
        <v>750.5</v>
      </c>
      <c r="Y12" s="56">
        <v>587.29999999999995</v>
      </c>
      <c r="Z12" s="56">
        <v>362.90000000000003</v>
      </c>
      <c r="AA12" s="56">
        <v>65.5</v>
      </c>
      <c r="AB12" s="56">
        <v>-64.399999999999991</v>
      </c>
      <c r="AC12" s="56">
        <v>41.7</v>
      </c>
      <c r="AD12" s="56">
        <v>49.308</v>
      </c>
      <c r="AE12" s="56">
        <v>-189.89999999999998</v>
      </c>
      <c r="AF12" s="56">
        <v>-30.499999999999996</v>
      </c>
      <c r="AG12" s="56">
        <v>-27.4</v>
      </c>
      <c r="AH12" s="56">
        <v>-6.3999999999999986</v>
      </c>
      <c r="AI12" s="56">
        <v>27.699999999999989</v>
      </c>
      <c r="AK12" s="56">
        <v>0</v>
      </c>
      <c r="AL12" s="56">
        <v>0</v>
      </c>
      <c r="AM12" s="56">
        <v>0</v>
      </c>
      <c r="AN12" s="56">
        <v>0</v>
      </c>
      <c r="AO12" s="56">
        <v>4458.6000000000004</v>
      </c>
      <c r="AP12" s="56">
        <f>SUM(X12:AA12)</f>
        <v>1766.2</v>
      </c>
      <c r="AQ12" s="56">
        <f>SUM(AB12:AE12)</f>
        <v>-163.29199999999997</v>
      </c>
      <c r="AR12" s="56">
        <f>SUM(AF12:AI12)</f>
        <v>-36.599999999999994</v>
      </c>
    </row>
    <row r="13" spans="1:44" s="4" customFormat="1" ht="16.5">
      <c r="A13"/>
      <c r="B13" s="57" t="s">
        <v>170</v>
      </c>
      <c r="C13" s="57" t="s">
        <v>291</v>
      </c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>
        <f>IFERROR(T12/T7,0)</f>
        <v>0.1129617717331373</v>
      </c>
      <c r="U13" s="69">
        <f t="shared" ref="U13:AD13" si="4">IFERROR(U12/U7,0)</f>
        <v>0.24336636977258783</v>
      </c>
      <c r="V13" s="69">
        <f t="shared" si="4"/>
        <v>0.24866885111611725</v>
      </c>
      <c r="W13" s="69">
        <f t="shared" si="4"/>
        <v>0.20518690630766076</v>
      </c>
      <c r="X13" s="69">
        <f t="shared" si="4"/>
        <v>0.13547420484494024</v>
      </c>
      <c r="Y13" s="69">
        <f t="shared" si="4"/>
        <v>0.10636409736308315</v>
      </c>
      <c r="Z13" s="69">
        <f t="shared" si="4"/>
        <v>6.5339118849138469E-2</v>
      </c>
      <c r="AA13" s="69">
        <f t="shared" si="4"/>
        <v>1.2010415138624027E-2</v>
      </c>
      <c r="AB13" s="69">
        <f t="shared" si="4"/>
        <v>-1.2228467264165273E-2</v>
      </c>
      <c r="AC13" s="69">
        <f t="shared" si="4"/>
        <v>7.1766011823321376E-3</v>
      </c>
      <c r="AD13" s="69">
        <f t="shared" si="4"/>
        <v>8.2826043136464429E-3</v>
      </c>
      <c r="AE13" s="69">
        <f>IFERROR(AE12/AE7,0)</f>
        <v>-3.0273079436943039E-2</v>
      </c>
      <c r="AF13" s="69">
        <f>IFERROR(AF12/AF7,0)</f>
        <v>-5.464872516170647E-3</v>
      </c>
      <c r="AG13" s="69">
        <f>IFERROR(AG12/AG7,0)</f>
        <v>-4.5724584473666634E-3</v>
      </c>
      <c r="AH13" s="69">
        <f>IFERROR(AH12/AH7,0)</f>
        <v>-1.0138292648153721E-3</v>
      </c>
      <c r="AI13" s="69">
        <f>IFERROR(AI12/AI7,0)</f>
        <v>4.3283955247202938E-3</v>
      </c>
      <c r="AK13" s="69">
        <f t="shared" ref="AK13:AP13" si="5">IFERROR(AK12/AK7,0)</f>
        <v>0</v>
      </c>
      <c r="AL13" s="69">
        <f t="shared" si="5"/>
        <v>0</v>
      </c>
      <c r="AM13" s="69">
        <f t="shared" si="5"/>
        <v>0</v>
      </c>
      <c r="AN13" s="69">
        <f t="shared" si="5"/>
        <v>0</v>
      </c>
      <c r="AO13" s="69">
        <f t="shared" si="5"/>
        <v>0.20792314687434421</v>
      </c>
      <c r="AP13" s="69">
        <f t="shared" si="5"/>
        <v>8.0030449814446444E-2</v>
      </c>
      <c r="AQ13" s="69">
        <f>IFERROR(AQ12/AQ7,0)</f>
        <v>-7.007323075734719E-3</v>
      </c>
      <c r="AR13" s="69">
        <f>IFERROR(AR12/AR7,0)</f>
        <v>-1.5070535045170427E-3</v>
      </c>
    </row>
    <row r="14" spans="1:44" s="4" customFormat="1" ht="16.5">
      <c r="A14"/>
      <c r="B14" s="2"/>
      <c r="C14" s="2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K14" s="28"/>
      <c r="AL14" s="28"/>
      <c r="AM14" s="28"/>
      <c r="AN14" s="28"/>
      <c r="AO14" s="28"/>
      <c r="AP14" s="28"/>
      <c r="AQ14" s="28"/>
      <c r="AR14" s="28"/>
    </row>
    <row r="15" spans="1:44" s="4" customFormat="1" ht="16.5">
      <c r="A15"/>
      <c r="B15" s="57" t="s">
        <v>1</v>
      </c>
      <c r="C15" s="57" t="s">
        <v>1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>
        <v>522.6</v>
      </c>
      <c r="U15" s="56">
        <v>1340.8</v>
      </c>
      <c r="V15" s="56">
        <f>4869.6-U15-W15-X15</f>
        <v>1496.9000000000003</v>
      </c>
      <c r="W15" s="56">
        <v>1240.0999999999999</v>
      </c>
      <c r="X15" s="56">
        <v>791.8</v>
      </c>
      <c r="Y15" s="56">
        <v>624.29999999999995</v>
      </c>
      <c r="Z15" s="56">
        <v>403.1</v>
      </c>
      <c r="AA15" s="56">
        <v>112.8</v>
      </c>
      <c r="AB15" s="56">
        <v>-23.2</v>
      </c>
      <c r="AC15" s="56">
        <v>83.4</v>
      </c>
      <c r="AD15" s="78">
        <v>93.207999999999998</v>
      </c>
      <c r="AE15" s="56">
        <v>-141.19999999999999</v>
      </c>
      <c r="AF15" s="56">
        <v>11.400000000000002</v>
      </c>
      <c r="AG15" s="56">
        <v>16.100000000000001</v>
      </c>
      <c r="AH15" s="56">
        <v>36.700000000000003</v>
      </c>
      <c r="AI15" s="56">
        <v>82.399999999999991</v>
      </c>
      <c r="AK15" s="56">
        <f>SUM(D15:G15)</f>
        <v>0</v>
      </c>
      <c r="AL15" s="56">
        <f>SUM(H15:K15)</f>
        <v>0</v>
      </c>
      <c r="AM15" s="56">
        <f>SUM(L15:O15)</f>
        <v>0</v>
      </c>
      <c r="AN15" s="56">
        <f>SUM(P15:S15)</f>
        <v>0</v>
      </c>
      <c r="AO15" s="56">
        <f>SUM(T15:W15)</f>
        <v>4600.3999999999996</v>
      </c>
      <c r="AP15" s="56">
        <f>SUM(X15:AA15)</f>
        <v>1931.9999999999998</v>
      </c>
      <c r="AQ15" s="56">
        <f>SUM(AB15:AE15)</f>
        <v>12.208000000000027</v>
      </c>
      <c r="AR15" s="56">
        <f>SUM(AF15:AI15)</f>
        <v>146.6</v>
      </c>
    </row>
    <row r="16" spans="1:44" s="4" customFormat="1" ht="16.5">
      <c r="A16"/>
      <c r="B16" s="57" t="s">
        <v>97</v>
      </c>
      <c r="C16" s="57" t="s">
        <v>237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>
        <f t="shared" ref="T16:AC16" si="6">T15/T7</f>
        <v>0.12006065061569564</v>
      </c>
      <c r="U16" s="69">
        <f t="shared" si="6"/>
        <v>0.24931664776213763</v>
      </c>
      <c r="V16" s="69">
        <f t="shared" si="6"/>
        <v>0.25546112362618623</v>
      </c>
      <c r="W16" s="69">
        <f t="shared" si="6"/>
        <v>0.21186701291601173</v>
      </c>
      <c r="X16" s="69">
        <f t="shared" si="6"/>
        <v>0.14292934762987833</v>
      </c>
      <c r="Y16" s="69">
        <f t="shared" si="6"/>
        <v>0.11306505360764994</v>
      </c>
      <c r="Z16" s="69">
        <f t="shared" si="6"/>
        <v>7.2577015177976628E-2</v>
      </c>
      <c r="AA16" s="69">
        <f t="shared" si="6"/>
        <v>2.0683585154760157E-2</v>
      </c>
      <c r="AB16" s="69">
        <f t="shared" si="6"/>
        <v>-4.4052863436123352E-3</v>
      </c>
      <c r="AC16" s="69">
        <f t="shared" si="6"/>
        <v>1.4353202364664275E-2</v>
      </c>
      <c r="AD16" s="69">
        <f t="shared" ref="AD16:AI16" si="7">AD15/AD7</f>
        <v>1.5656789625747496E-2</v>
      </c>
      <c r="AE16" s="69">
        <f t="shared" si="7"/>
        <v>-2.2509525100033477E-2</v>
      </c>
      <c r="AF16" s="69">
        <f t="shared" si="7"/>
        <v>2.0426080880113244E-3</v>
      </c>
      <c r="AG16" s="69">
        <f t="shared" si="7"/>
        <v>2.6867365329417262E-3</v>
      </c>
      <c r="AH16" s="69">
        <f t="shared" si="7"/>
        <v>5.8136771904256507E-3</v>
      </c>
      <c r="AI16" s="69">
        <f t="shared" si="7"/>
        <v>1.2875804737796112E-2</v>
      </c>
      <c r="AK16" s="69">
        <f t="shared" ref="AK16:AP16" si="8">IFERROR(AK15/AK7,0)</f>
        <v>0</v>
      </c>
      <c r="AL16" s="69">
        <f t="shared" si="8"/>
        <v>0</v>
      </c>
      <c r="AM16" s="69">
        <f t="shared" si="8"/>
        <v>0</v>
      </c>
      <c r="AN16" s="69">
        <f t="shared" si="8"/>
        <v>0</v>
      </c>
      <c r="AO16" s="69">
        <f t="shared" si="8"/>
        <v>0.21453587334157201</v>
      </c>
      <c r="AP16" s="69">
        <f t="shared" si="8"/>
        <v>8.7543216533524246E-2</v>
      </c>
      <c r="AQ16" s="69">
        <f>IFERROR(AQ15/AQ7,0)</f>
        <v>5.238799212978569E-4</v>
      </c>
      <c r="AR16" s="69">
        <f>IFERROR(AR15/AR7,0)</f>
        <v>6.0364492831201768E-3</v>
      </c>
    </row>
    <row r="17" spans="1:44" s="4" customFormat="1" ht="16.5">
      <c r="A17"/>
      <c r="B17" s="2"/>
      <c r="C17" s="2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K17" s="37"/>
      <c r="AL17" s="37"/>
      <c r="AM17" s="37"/>
      <c r="AN17" s="37"/>
      <c r="AO17" s="37"/>
      <c r="AP17" s="37"/>
      <c r="AQ17" s="37"/>
      <c r="AR17" s="37"/>
    </row>
    <row r="18" spans="1:44" s="4" customFormat="1" ht="16.5">
      <c r="A18"/>
      <c r="B18" s="6" t="s">
        <v>193</v>
      </c>
      <c r="C18" s="6" t="s">
        <v>193</v>
      </c>
      <c r="D18" s="7" t="s">
        <v>20</v>
      </c>
      <c r="E18" s="8" t="s">
        <v>21</v>
      </c>
      <c r="F18" s="7" t="s">
        <v>22</v>
      </c>
      <c r="G18" s="7" t="s">
        <v>23</v>
      </c>
      <c r="H18" s="7" t="s">
        <v>24</v>
      </c>
      <c r="I18" s="8" t="s">
        <v>25</v>
      </c>
      <c r="J18" s="8" t="s">
        <v>26</v>
      </c>
      <c r="K18" s="8" t="s">
        <v>27</v>
      </c>
      <c r="L18" s="8" t="s">
        <v>28</v>
      </c>
      <c r="M18" s="8" t="s">
        <v>29</v>
      </c>
      <c r="N18" s="8" t="s">
        <v>30</v>
      </c>
      <c r="O18" s="8" t="s">
        <v>31</v>
      </c>
      <c r="P18" s="8" t="s">
        <v>32</v>
      </c>
      <c r="Q18" s="8" t="s">
        <v>33</v>
      </c>
      <c r="R18" s="8" t="s">
        <v>34</v>
      </c>
      <c r="S18" s="17" t="s">
        <v>35</v>
      </c>
      <c r="T18" s="17" t="s">
        <v>36</v>
      </c>
      <c r="U18" s="17" t="s">
        <v>183</v>
      </c>
      <c r="V18" s="17" t="s">
        <v>187</v>
      </c>
      <c r="W18" s="17" t="s">
        <v>188</v>
      </c>
      <c r="X18" s="17" t="s">
        <v>189</v>
      </c>
      <c r="Y18" s="17" t="s">
        <v>302</v>
      </c>
      <c r="Z18" s="17" t="str">
        <f>Z5</f>
        <v>3Q22</v>
      </c>
      <c r="AA18" s="17" t="str">
        <f>AA5</f>
        <v>4Q22</v>
      </c>
      <c r="AB18" s="17" t="s">
        <v>393</v>
      </c>
      <c r="AC18" s="17" t="s">
        <v>398</v>
      </c>
      <c r="AD18" s="17" t="s">
        <v>428</v>
      </c>
      <c r="AE18" s="17" t="str">
        <f>AE5</f>
        <v>4Q23</v>
      </c>
      <c r="AF18" s="17" t="str">
        <f>AF5</f>
        <v>1Q24</v>
      </c>
      <c r="AG18" s="17" t="str">
        <f>AG5</f>
        <v>2Q24</v>
      </c>
      <c r="AH18" s="17" t="s">
        <v>442</v>
      </c>
      <c r="AI18" s="17" t="str">
        <f>AI5</f>
        <v>4Q24</v>
      </c>
      <c r="AK18" s="17" t="str">
        <f t="shared" ref="AK18:AP18" si="9">AK5</f>
        <v>2017</v>
      </c>
      <c r="AL18" s="17" t="str">
        <f t="shared" si="9"/>
        <v>2018</v>
      </c>
      <c r="AM18" s="17" t="str">
        <f t="shared" si="9"/>
        <v>2019</v>
      </c>
      <c r="AN18" s="17" t="str">
        <f t="shared" si="9"/>
        <v>2020</v>
      </c>
      <c r="AO18" s="17" t="str">
        <f t="shared" si="9"/>
        <v>2021</v>
      </c>
      <c r="AP18" s="17" t="str">
        <f t="shared" si="9"/>
        <v>2022</v>
      </c>
      <c r="AQ18" s="148">
        <f t="shared" ref="AQ18:AR18" si="10">AQ5</f>
        <v>2023</v>
      </c>
      <c r="AR18" s="148">
        <f t="shared" si="10"/>
        <v>2024</v>
      </c>
    </row>
    <row r="19" spans="1:44" s="4" customFormat="1" ht="16.5">
      <c r="A19"/>
    </row>
    <row r="20" spans="1:44" s="4" customFormat="1" ht="16.5">
      <c r="A20"/>
      <c r="B20" s="57" t="s">
        <v>78</v>
      </c>
      <c r="C20" s="57" t="s">
        <v>239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>
        <v>1127.8</v>
      </c>
      <c r="U20" s="60">
        <v>1269.7</v>
      </c>
      <c r="V20" s="60">
        <v>1398.1</v>
      </c>
      <c r="W20" s="60">
        <v>1549.3</v>
      </c>
      <c r="X20" s="60">
        <v>1417.6</v>
      </c>
      <c r="Y20" s="60">
        <v>1674.3000000000002</v>
      </c>
      <c r="Z20" s="60">
        <v>1664.3</v>
      </c>
      <c r="AA20" s="60">
        <v>1567.1</v>
      </c>
      <c r="AB20" s="60">
        <v>1394.7</v>
      </c>
      <c r="AC20" s="60">
        <v>1508.962</v>
      </c>
      <c r="AD20" s="60">
        <v>1575.241</v>
      </c>
      <c r="AE20" s="60">
        <v>1730.1</v>
      </c>
      <c r="AF20" s="60">
        <v>1446.4</v>
      </c>
      <c r="AG20" s="60">
        <v>1651.7</v>
      </c>
      <c r="AH20" s="60">
        <v>1784.5</v>
      </c>
      <c r="AI20" s="60">
        <v>1765.5</v>
      </c>
      <c r="AK20" s="60">
        <f>SUM(D20:G20)</f>
        <v>0</v>
      </c>
      <c r="AL20" s="60">
        <f>SUM(H20:K20)</f>
        <v>0</v>
      </c>
      <c r="AM20" s="60">
        <f>SUM(L20:O20)</f>
        <v>0</v>
      </c>
      <c r="AN20" s="60">
        <f>SUM(P20:S20)</f>
        <v>0</v>
      </c>
      <c r="AO20" s="60">
        <f>SUM(T20:W20)</f>
        <v>5344.9</v>
      </c>
      <c r="AP20" s="60">
        <f>SUM(X20:AA20)</f>
        <v>6323.2999999999993</v>
      </c>
      <c r="AQ20" s="60">
        <f>SUM(AB20:AE20)</f>
        <v>6209.0030000000006</v>
      </c>
      <c r="AR20" s="60">
        <f>SUM(AF20:AI20)</f>
        <v>6648.1</v>
      </c>
    </row>
    <row r="21" spans="1:44" s="9" customFormat="1" ht="16.5">
      <c r="A21"/>
      <c r="B21" s="9" t="s">
        <v>168</v>
      </c>
      <c r="C21" s="9" t="s">
        <v>318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>
        <v>-1099.7</v>
      </c>
      <c r="U21" s="10">
        <v>-1197.0999999999999</v>
      </c>
      <c r="V21" s="10">
        <v>-1259.7000000000003</v>
      </c>
      <c r="W21" s="10">
        <v>-1425.4</v>
      </c>
      <c r="X21" s="10">
        <v>-1306.5999999999999</v>
      </c>
      <c r="Y21" s="10">
        <v>-1546</v>
      </c>
      <c r="Z21" s="10">
        <v>-1579</v>
      </c>
      <c r="AA21" s="10">
        <v>-1480.5</v>
      </c>
      <c r="AB21" s="10">
        <v>-1357.4</v>
      </c>
      <c r="AC21" s="10">
        <v>-1363.8</v>
      </c>
      <c r="AD21" s="10">
        <v>-1448.6</v>
      </c>
      <c r="AE21" s="10">
        <v>-1531.5</v>
      </c>
      <c r="AF21" s="10">
        <v>-1299.7</v>
      </c>
      <c r="AG21" s="10">
        <v>-1424.1</v>
      </c>
      <c r="AH21" s="10">
        <v>-1610.2</v>
      </c>
      <c r="AI21" s="10">
        <v>-1638.1</v>
      </c>
      <c r="AK21" s="10">
        <f>SUM(D21:G21)</f>
        <v>0</v>
      </c>
      <c r="AL21" s="10">
        <f>SUM(H21:K21)</f>
        <v>0</v>
      </c>
      <c r="AM21" s="10">
        <f>SUM(L21:O21)</f>
        <v>0</v>
      </c>
      <c r="AN21" s="10">
        <f>SUM(P21:S21)</f>
        <v>0</v>
      </c>
      <c r="AO21" s="10">
        <f>SUM(T21:W21)</f>
        <v>-4981.9000000000005</v>
      </c>
      <c r="AP21" s="10">
        <f>SUM(X21:AA21)</f>
        <v>-5912.1</v>
      </c>
      <c r="AQ21" s="10">
        <f>SUM(AB21:AE21)</f>
        <v>-5701.2999999999993</v>
      </c>
      <c r="AR21" s="10">
        <f>SUM(AF21:AI21)</f>
        <v>-5972.1</v>
      </c>
    </row>
    <row r="22" spans="1:44" s="4" customFormat="1" ht="16.5">
      <c r="A22"/>
      <c r="B22" s="57" t="s">
        <v>80</v>
      </c>
      <c r="C22" s="57" t="s">
        <v>319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>
        <v>28.099999999999909</v>
      </c>
      <c r="U22" s="56">
        <v>72.600000000000136</v>
      </c>
      <c r="V22" s="56">
        <f>SUM(V20:V21)</f>
        <v>138.39999999999964</v>
      </c>
      <c r="W22" s="56">
        <f>SUM(W20:W21)</f>
        <v>123.89999999999986</v>
      </c>
      <c r="X22" s="56">
        <v>111</v>
      </c>
      <c r="Y22" s="56">
        <v>128.30000000000018</v>
      </c>
      <c r="Z22" s="56">
        <v>85.299999999999955</v>
      </c>
      <c r="AA22" s="56">
        <v>86.599999999999909</v>
      </c>
      <c r="AB22" s="56">
        <v>37.299999999999955</v>
      </c>
      <c r="AC22" s="56">
        <v>145.16200000000003</v>
      </c>
      <c r="AD22" s="56">
        <v>126.64100000000008</v>
      </c>
      <c r="AE22" s="56">
        <v>198.59999999999991</v>
      </c>
      <c r="AF22" s="56">
        <f>SUM(AF20:AF21)</f>
        <v>146.70000000000005</v>
      </c>
      <c r="AG22" s="56">
        <f>SUM(AG20:AG21)</f>
        <v>227.60000000000014</v>
      </c>
      <c r="AH22" s="56">
        <f>SUM(AH20:AH21)</f>
        <v>174.29999999999995</v>
      </c>
      <c r="AI22" s="56">
        <f>SUM(AI20:AI21)</f>
        <v>127.40000000000009</v>
      </c>
      <c r="AK22" s="56">
        <f t="shared" ref="AK22:AP22" si="11">SUM(AK20:AK21)</f>
        <v>0</v>
      </c>
      <c r="AL22" s="56">
        <f t="shared" si="11"/>
        <v>0</v>
      </c>
      <c r="AM22" s="56">
        <f t="shared" si="11"/>
        <v>0</v>
      </c>
      <c r="AN22" s="56">
        <f t="shared" si="11"/>
        <v>0</v>
      </c>
      <c r="AO22" s="56">
        <f>SUM(AO20:AO21)</f>
        <v>362.99999999999909</v>
      </c>
      <c r="AP22" s="56">
        <f t="shared" si="11"/>
        <v>411.19999999999891</v>
      </c>
      <c r="AQ22" s="56">
        <f>SUM(AQ20:AQ21)</f>
        <v>507.70300000000134</v>
      </c>
      <c r="AR22" s="56">
        <f>SUM(AF22:AI22)</f>
        <v>676.00000000000023</v>
      </c>
    </row>
    <row r="23" spans="1:44" s="4" customFormat="1" ht="16.5">
      <c r="A23"/>
      <c r="B23" s="57" t="s">
        <v>169</v>
      </c>
      <c r="C23" s="57" t="s">
        <v>290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>
        <v>2.4915765206596836E-2</v>
      </c>
      <c r="U23" s="69">
        <v>5.7178861148302854E-2</v>
      </c>
      <c r="V23" s="69">
        <f>IFERROR(V22/V20,0)</f>
        <v>9.8991488448608569E-2</v>
      </c>
      <c r="W23" s="69">
        <f>IFERROR(W22/W20,0)</f>
        <v>7.9971600077454255E-2</v>
      </c>
      <c r="X23" s="69">
        <v>7.830135440180587E-2</v>
      </c>
      <c r="Y23" s="69">
        <v>7.6629039001373814E-2</v>
      </c>
      <c r="Z23" s="69">
        <v>5.1252778946103444E-2</v>
      </c>
      <c r="AA23" s="69">
        <v>5.5261310701295328E-2</v>
      </c>
      <c r="AB23" s="69">
        <f>IFERROR(AB22/AB20,0)</f>
        <v>2.6744102674410235E-2</v>
      </c>
      <c r="AC23" s="69">
        <v>9.6199904305078618E-2</v>
      </c>
      <c r="AD23" s="69">
        <v>8.0394682464461048E-2</v>
      </c>
      <c r="AE23" s="69">
        <f>IFERROR(AE22/AE20,0)</f>
        <v>0.11479105254031555</v>
      </c>
      <c r="AF23" s="69">
        <f>IFERROR(AF22/AF20,0)</f>
        <v>0.10142422566371684</v>
      </c>
      <c r="AG23" s="69">
        <f>IFERROR(AG22/AG20,0)</f>
        <v>0.13779742083913551</v>
      </c>
      <c r="AH23" s="69">
        <f>IFERROR(AH22/AH20,0)</f>
        <v>9.7674418604651134E-2</v>
      </c>
      <c r="AI23" s="69">
        <f>IFERROR(AI22/AI20,0)</f>
        <v>7.216086094590772E-2</v>
      </c>
      <c r="AK23" s="69">
        <f t="shared" ref="AK23:AP23" si="12">IFERROR(AK22/AK20,0)</f>
        <v>0</v>
      </c>
      <c r="AL23" s="69">
        <f t="shared" si="12"/>
        <v>0</v>
      </c>
      <c r="AM23" s="69">
        <f t="shared" si="12"/>
        <v>0</v>
      </c>
      <c r="AN23" s="69">
        <f t="shared" si="12"/>
        <v>0</v>
      </c>
      <c r="AO23" s="69">
        <f t="shared" si="12"/>
        <v>6.7915208890718087E-2</v>
      </c>
      <c r="AP23" s="69">
        <f t="shared" si="12"/>
        <v>6.5029335948001671E-2</v>
      </c>
      <c r="AQ23" s="69">
        <f>IFERROR(AQ22/AQ20,0)</f>
        <v>8.1768844370022256E-2</v>
      </c>
      <c r="AR23" s="69">
        <f>IFERROR(AR22/AR20,0)</f>
        <v>0.10168318767768238</v>
      </c>
    </row>
    <row r="24" spans="1:44" s="4" customFormat="1" ht="16.5">
      <c r="A24"/>
      <c r="B24" s="2"/>
      <c r="C24" s="2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K24" s="28"/>
      <c r="AL24" s="28"/>
      <c r="AM24" s="28"/>
      <c r="AN24" s="28"/>
      <c r="AO24" s="28"/>
      <c r="AP24" s="28"/>
      <c r="AQ24" s="28"/>
      <c r="AR24" s="28"/>
    </row>
    <row r="25" spans="1:44" s="4" customFormat="1" ht="16.5">
      <c r="A25"/>
      <c r="B25" s="57" t="s">
        <v>0</v>
      </c>
      <c r="C25" s="57" t="s">
        <v>0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>
        <v>-5.7999999999999989</v>
      </c>
      <c r="U25" s="56">
        <v>37.4</v>
      </c>
      <c r="V25" s="56">
        <v>102.3</v>
      </c>
      <c r="W25" s="56">
        <v>86.763000000000005</v>
      </c>
      <c r="X25" s="56">
        <v>72.599999999999994</v>
      </c>
      <c r="Y25" s="56">
        <v>84.7</v>
      </c>
      <c r="Z25" s="56">
        <v>39</v>
      </c>
      <c r="AA25" s="56">
        <v>49.988</v>
      </c>
      <c r="AB25" s="56">
        <v>-4.3999999999999986</v>
      </c>
      <c r="AC25" s="56">
        <v>107.3</v>
      </c>
      <c r="AD25" s="56">
        <v>82.055999999999997</v>
      </c>
      <c r="AE25" s="56">
        <v>147.79999999999998</v>
      </c>
      <c r="AF25" s="56">
        <v>111.29999999999998</v>
      </c>
      <c r="AG25" s="56">
        <v>180</v>
      </c>
      <c r="AH25" s="56">
        <v>122.19999999999999</v>
      </c>
      <c r="AI25" s="56">
        <v>81.600000000000009</v>
      </c>
      <c r="AK25" s="56">
        <v>0</v>
      </c>
      <c r="AL25" s="56">
        <v>0</v>
      </c>
      <c r="AM25" s="56">
        <v>0</v>
      </c>
      <c r="AN25" s="56">
        <v>0</v>
      </c>
      <c r="AO25" s="56">
        <v>220.66299999999998</v>
      </c>
      <c r="AP25" s="56">
        <f>SUM(X25:AA25)</f>
        <v>246.28800000000001</v>
      </c>
      <c r="AQ25" s="56">
        <f>SUM(AB25:AE25)</f>
        <v>332.75599999999997</v>
      </c>
      <c r="AR25" s="56">
        <f>SUM(AF25:AI25)</f>
        <v>495.09999999999997</v>
      </c>
    </row>
    <row r="26" spans="1:44" s="4" customFormat="1" ht="16.5">
      <c r="A26"/>
      <c r="B26" s="57" t="s">
        <v>170</v>
      </c>
      <c r="C26" s="57" t="s">
        <v>291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>
        <f t="shared" ref="T26:AC26" si="13">IFERROR(T25/T20,0)</f>
        <v>-5.1427558077673336E-3</v>
      </c>
      <c r="U26" s="69">
        <f t="shared" si="13"/>
        <v>2.9455776955186263E-2</v>
      </c>
      <c r="V26" s="69">
        <f t="shared" si="13"/>
        <v>7.3170731707317083E-2</v>
      </c>
      <c r="W26" s="69">
        <f t="shared" si="13"/>
        <v>5.6001419996127288E-2</v>
      </c>
      <c r="X26" s="69">
        <f t="shared" si="13"/>
        <v>5.1213318284424381E-2</v>
      </c>
      <c r="Y26" s="69">
        <f t="shared" si="13"/>
        <v>5.0588305560532759E-2</v>
      </c>
      <c r="Z26" s="69">
        <f t="shared" si="13"/>
        <v>2.3433275250856218E-2</v>
      </c>
      <c r="AA26" s="69">
        <f t="shared" si="13"/>
        <v>3.1898411077786994E-2</v>
      </c>
      <c r="AB26" s="69">
        <f t="shared" si="13"/>
        <v>-3.1548003154800303E-3</v>
      </c>
      <c r="AC26" s="69">
        <f t="shared" si="13"/>
        <v>7.1108483845186296E-2</v>
      </c>
      <c r="AD26" s="69">
        <v>5.2091076857445941E-2</v>
      </c>
      <c r="AE26" s="69">
        <f>IFERROR(AE25/AE20,0)</f>
        <v>8.5428587942893472E-2</v>
      </c>
      <c r="AF26" s="69">
        <f>IFERROR(AF25/AF20,0)</f>
        <v>7.6949668141592903E-2</v>
      </c>
      <c r="AG26" s="69">
        <f>IFERROR(AG25/AG20,0)</f>
        <v>0.10897862808015983</v>
      </c>
      <c r="AH26" s="69">
        <f>IFERROR(AH25/AH20,0)</f>
        <v>6.8478565424488644E-2</v>
      </c>
      <c r="AI26" s="69">
        <f>IFERROR(AI25/AI20,0)</f>
        <v>4.6219201359388278E-2</v>
      </c>
      <c r="AK26" s="69">
        <f t="shared" ref="AK26:AN26" si="14">IFERROR(AK25/AK20,0)</f>
        <v>0</v>
      </c>
      <c r="AL26" s="69">
        <f t="shared" si="14"/>
        <v>0</v>
      </c>
      <c r="AM26" s="69">
        <f t="shared" si="14"/>
        <v>0</v>
      </c>
      <c r="AN26" s="69">
        <f t="shared" si="14"/>
        <v>0</v>
      </c>
      <c r="AO26" s="69">
        <f>IFERROR(AO25/AO20,0)</f>
        <v>4.1284776141742592E-2</v>
      </c>
      <c r="AP26" s="69">
        <f>IFERROR(AP25/AP20,0)</f>
        <v>3.8949282811190367E-2</v>
      </c>
      <c r="AQ26" s="69">
        <f>IFERROR(AQ25/AQ20,0)</f>
        <v>5.3592501082701999E-2</v>
      </c>
      <c r="AR26" s="69">
        <f>IFERROR(AR25/AR20,0)</f>
        <v>7.4472405649734508E-2</v>
      </c>
    </row>
    <row r="27" spans="1:44" s="4" customFormat="1" ht="16.5">
      <c r="A27"/>
      <c r="B27" s="2"/>
      <c r="C27" s="2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K27" s="28"/>
      <c r="AL27" s="28"/>
      <c r="AM27" s="28"/>
      <c r="AN27" s="28"/>
      <c r="AO27" s="28"/>
      <c r="AP27" s="28"/>
      <c r="AQ27" s="28"/>
      <c r="AR27" s="28"/>
    </row>
    <row r="28" spans="1:44" s="4" customFormat="1" ht="16.5">
      <c r="A28"/>
      <c r="B28" s="57" t="s">
        <v>1</v>
      </c>
      <c r="C28" s="57" t="s">
        <v>1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>
        <v>9.3000000000000007</v>
      </c>
      <c r="U28" s="56">
        <v>56.4</v>
      </c>
      <c r="V28" s="56">
        <v>117.00000000000001</v>
      </c>
      <c r="W28" s="56">
        <v>104.4</v>
      </c>
      <c r="X28" s="56">
        <v>93.2</v>
      </c>
      <c r="Y28" s="56">
        <v>106</v>
      </c>
      <c r="Z28" s="56">
        <v>59.4</v>
      </c>
      <c r="AA28" s="56">
        <v>78.5</v>
      </c>
      <c r="AB28" s="56">
        <v>18.5</v>
      </c>
      <c r="AC28" s="56">
        <v>129.5</v>
      </c>
      <c r="AD28" s="56">
        <v>103.556</v>
      </c>
      <c r="AE28" s="56">
        <v>172.1</v>
      </c>
      <c r="AF28" s="56">
        <v>132.19999999999999</v>
      </c>
      <c r="AG28" s="56">
        <v>201.7</v>
      </c>
      <c r="AH28" s="56">
        <v>144.29999999999998</v>
      </c>
      <c r="AI28" s="56">
        <v>104.10000000000001</v>
      </c>
      <c r="AK28" s="56">
        <f>SUM(D28:G28)</f>
        <v>0</v>
      </c>
      <c r="AL28" s="56">
        <f>SUM(H28:K28)</f>
        <v>0</v>
      </c>
      <c r="AM28" s="56">
        <f>SUM(L28:O28)</f>
        <v>0</v>
      </c>
      <c r="AN28" s="56">
        <f>SUM(P28:S28)</f>
        <v>0</v>
      </c>
      <c r="AO28" s="56">
        <f>SUM(T28:W28)</f>
        <v>287.10000000000002</v>
      </c>
      <c r="AP28" s="56">
        <f>SUM(X28:AA28)</f>
        <v>337.09999999999997</v>
      </c>
      <c r="AQ28" s="56">
        <f>SUM(AB28:AE28)</f>
        <v>423.65599999999995</v>
      </c>
      <c r="AR28" s="56">
        <f>SUM(AF28:AI28)</f>
        <v>582.29999999999995</v>
      </c>
    </row>
    <row r="29" spans="1:44" s="4" customFormat="1" ht="16.5">
      <c r="A29"/>
      <c r="B29" s="57" t="s">
        <v>97</v>
      </c>
      <c r="C29" s="57" t="s">
        <v>237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>
        <v>8.2461429331441762E-3</v>
      </c>
      <c r="U29" s="69">
        <v>4.4419941718516182E-2</v>
      </c>
      <c r="V29" s="69">
        <f>IFERROR(V28/V20,0)</f>
        <v>8.3685001072884652E-2</v>
      </c>
      <c r="W29" s="69">
        <f>IFERROR(W28/W20,0)</f>
        <v>6.738527076744337E-2</v>
      </c>
      <c r="X29" s="69">
        <v>6.5744920993227998E-2</v>
      </c>
      <c r="Y29" s="69">
        <v>6.3310040016723398E-2</v>
      </c>
      <c r="Z29" s="69">
        <v>3.5690680766688701E-2</v>
      </c>
      <c r="AA29" s="69">
        <v>5.0092527598749284E-2</v>
      </c>
      <c r="AB29" s="69">
        <f>AB28/AB20</f>
        <v>1.3264501326450132E-2</v>
      </c>
      <c r="AC29" s="69">
        <v>8.582058395108691E-2</v>
      </c>
      <c r="AD29" s="69">
        <v>6.5739782039700587E-2</v>
      </c>
      <c r="AE29" s="69">
        <f>AE28/AE20</f>
        <v>9.9474018842841461E-2</v>
      </c>
      <c r="AF29" s="69">
        <f>AF28/AF20</f>
        <v>9.1399336283185834E-2</v>
      </c>
      <c r="AG29" s="69">
        <f>AG28/AG20</f>
        <v>0.12211660713204577</v>
      </c>
      <c r="AH29" s="69">
        <f>AH28/AH20</f>
        <v>8.0862986831045106E-2</v>
      </c>
      <c r="AI29" s="69">
        <f>AI28/AI20</f>
        <v>5.8963466440101961E-2</v>
      </c>
      <c r="AK29" s="69">
        <f t="shared" ref="AK29:AP29" si="15">IFERROR(AK28/AK20,0)</f>
        <v>0</v>
      </c>
      <c r="AL29" s="69">
        <f t="shared" si="15"/>
        <v>0</v>
      </c>
      <c r="AM29" s="69">
        <f t="shared" si="15"/>
        <v>0</v>
      </c>
      <c r="AN29" s="69">
        <f t="shared" si="15"/>
        <v>0</v>
      </c>
      <c r="AO29" s="69">
        <f t="shared" si="15"/>
        <v>5.371475612265899E-2</v>
      </c>
      <c r="AP29" s="69">
        <f t="shared" si="15"/>
        <v>5.3310771274492748E-2</v>
      </c>
      <c r="AQ29" s="69">
        <f t="shared" ref="AQ29" si="16">IFERROR(AQ28/AQ20,0)</f>
        <v>6.8232532662651293E-2</v>
      </c>
      <c r="AR29" s="69">
        <f>IFERROR(AR28/AR20,0)</f>
        <v>8.7588935184488792E-2</v>
      </c>
    </row>
    <row r="30" spans="1:44" s="4" customFormat="1" ht="16.5">
      <c r="A30"/>
      <c r="C30" s="2"/>
    </row>
    <row r="31" spans="1:44" s="4" customFormat="1" ht="16.5">
      <c r="A31"/>
      <c r="B31" s="6" t="s">
        <v>8</v>
      </c>
      <c r="C31" s="6" t="s">
        <v>8</v>
      </c>
      <c r="D31" s="7" t="s">
        <v>20</v>
      </c>
      <c r="E31" s="8" t="s">
        <v>21</v>
      </c>
      <c r="F31" s="7" t="s">
        <v>22</v>
      </c>
      <c r="G31" s="7" t="s">
        <v>23</v>
      </c>
      <c r="H31" s="7" t="s">
        <v>24</v>
      </c>
      <c r="I31" s="8" t="s">
        <v>25</v>
      </c>
      <c r="J31" s="8" t="s">
        <v>26</v>
      </c>
      <c r="K31" s="8" t="s">
        <v>27</v>
      </c>
      <c r="L31" s="8" t="s">
        <v>28</v>
      </c>
      <c r="M31" s="8" t="s">
        <v>29</v>
      </c>
      <c r="N31" s="8" t="s">
        <v>30</v>
      </c>
      <c r="O31" s="8" t="s">
        <v>31</v>
      </c>
      <c r="P31" s="8" t="s">
        <v>32</v>
      </c>
      <c r="Q31" s="8" t="s">
        <v>33</v>
      </c>
      <c r="R31" s="8" t="s">
        <v>34</v>
      </c>
      <c r="S31" s="17" t="s">
        <v>35</v>
      </c>
      <c r="T31" s="17" t="s">
        <v>36</v>
      </c>
      <c r="U31" s="17" t="s">
        <v>183</v>
      </c>
      <c r="V31" s="17" t="s">
        <v>187</v>
      </c>
      <c r="W31" s="17" t="str">
        <f>W5</f>
        <v>4Q21</v>
      </c>
      <c r="X31" s="17" t="s">
        <v>189</v>
      </c>
      <c r="Y31" s="17" t="s">
        <v>302</v>
      </c>
      <c r="Z31" s="17" t="s">
        <v>354</v>
      </c>
      <c r="AA31" s="17" t="s">
        <v>355</v>
      </c>
      <c r="AB31" s="17" t="s">
        <v>393</v>
      </c>
      <c r="AC31" s="17" t="s">
        <v>398</v>
      </c>
      <c r="AD31" s="17" t="s">
        <v>428</v>
      </c>
      <c r="AE31" s="17" t="str">
        <f>AE5</f>
        <v>4Q23</v>
      </c>
      <c r="AF31" s="17" t="str">
        <f>AF5</f>
        <v>1Q24</v>
      </c>
      <c r="AG31" s="17" t="str">
        <f>AG5</f>
        <v>2Q24</v>
      </c>
      <c r="AH31" s="17" t="s">
        <v>442</v>
      </c>
      <c r="AI31" s="17" t="str">
        <f>AI5</f>
        <v>4Q24</v>
      </c>
      <c r="AK31" s="17" t="str">
        <f t="shared" ref="AK31:AP31" si="17">AK18</f>
        <v>2017</v>
      </c>
      <c r="AL31" s="17" t="str">
        <f t="shared" si="17"/>
        <v>2018</v>
      </c>
      <c r="AM31" s="17" t="str">
        <f t="shared" si="17"/>
        <v>2019</v>
      </c>
      <c r="AN31" s="17" t="str">
        <f t="shared" si="17"/>
        <v>2020</v>
      </c>
      <c r="AO31" s="17" t="str">
        <f t="shared" si="17"/>
        <v>2021</v>
      </c>
      <c r="AP31" s="17" t="str">
        <f t="shared" si="17"/>
        <v>2022</v>
      </c>
      <c r="AQ31" s="148">
        <f t="shared" ref="AQ31:AR31" si="18">AQ18</f>
        <v>2023</v>
      </c>
      <c r="AR31" s="148">
        <f t="shared" si="18"/>
        <v>2024</v>
      </c>
    </row>
    <row r="32" spans="1:44" s="4" customFormat="1" ht="16.5">
      <c r="A32"/>
    </row>
    <row r="33" spans="1:44" s="4" customFormat="1" ht="16.5">
      <c r="A33"/>
      <c r="B33" s="57" t="s">
        <v>78</v>
      </c>
      <c r="C33" s="57" t="s">
        <v>239</v>
      </c>
      <c r="D33" s="60">
        <v>1396.8589317299995</v>
      </c>
      <c r="E33" s="60">
        <v>1525.3460364600005</v>
      </c>
      <c r="F33" s="60">
        <v>1690.42302131</v>
      </c>
      <c r="G33" s="60">
        <v>1598</v>
      </c>
      <c r="H33" s="60">
        <v>1466.2</v>
      </c>
      <c r="I33" s="60">
        <v>1429.5039999999999</v>
      </c>
      <c r="J33" s="60">
        <v>1394.1</v>
      </c>
      <c r="K33" s="60">
        <v>1403.1999999999998</v>
      </c>
      <c r="L33" s="60">
        <v>1335.5</v>
      </c>
      <c r="M33" s="60">
        <v>1559.4</v>
      </c>
      <c r="N33" s="60">
        <v>1511.6</v>
      </c>
      <c r="O33" s="60">
        <v>1534</v>
      </c>
      <c r="P33" s="60">
        <v>1486</v>
      </c>
      <c r="Q33" s="60">
        <v>1585.3</v>
      </c>
      <c r="R33" s="60">
        <v>1429.1000000000001</v>
      </c>
      <c r="S33" s="60">
        <v>1726.1</v>
      </c>
      <c r="T33" s="60">
        <v>1605.7</v>
      </c>
      <c r="U33" s="60">
        <v>2026.1</v>
      </c>
      <c r="V33" s="60">
        <v>2091.4</v>
      </c>
      <c r="W33" s="60">
        <v>1903</v>
      </c>
      <c r="X33" s="60">
        <v>1900.9</v>
      </c>
      <c r="Y33" s="60">
        <v>2111.1999999999998</v>
      </c>
      <c r="Z33" s="60">
        <v>2125</v>
      </c>
      <c r="AA33" s="60">
        <v>2015.9</v>
      </c>
      <c r="AB33" s="60">
        <v>1808.1</v>
      </c>
      <c r="AC33" s="60">
        <v>1776.8719999999998</v>
      </c>
      <c r="AD33" s="60">
        <v>2026.5519999999999</v>
      </c>
      <c r="AE33" s="60">
        <v>2102.1999999999998</v>
      </c>
      <c r="AF33" s="60">
        <v>1910.3</v>
      </c>
      <c r="AG33" s="60">
        <v>2161.8999999999996</v>
      </c>
      <c r="AH33" s="60">
        <v>2042.5</v>
      </c>
      <c r="AI33" s="60">
        <v>2000.8</v>
      </c>
      <c r="AK33" s="60">
        <f>SUM(D33:G33)</f>
        <v>6210.6279894999998</v>
      </c>
      <c r="AL33" s="60">
        <f>SUM(H33:K33)</f>
        <v>5693.0039999999999</v>
      </c>
      <c r="AM33" s="60">
        <f>SUM(L33:O33)</f>
        <v>5940.5</v>
      </c>
      <c r="AN33" s="60">
        <f>SUM(P33:S33)</f>
        <v>6226.5</v>
      </c>
      <c r="AO33" s="60">
        <f>SUM(T33:W33)</f>
        <v>7626.2000000000007</v>
      </c>
      <c r="AP33" s="60">
        <f>SUM(X33:AA33)</f>
        <v>8153</v>
      </c>
      <c r="AQ33" s="60">
        <f>SUM(AB33:AE33)</f>
        <v>7713.7239999999993</v>
      </c>
      <c r="AR33" s="60">
        <f>SUM(AF33:AI33)</f>
        <v>8115.5</v>
      </c>
    </row>
    <row r="34" spans="1:44" s="9" customFormat="1" ht="16.5">
      <c r="A34"/>
      <c r="B34" s="9" t="s">
        <v>168</v>
      </c>
      <c r="C34" s="9" t="s">
        <v>318</v>
      </c>
      <c r="D34" s="10">
        <v>-1231.9000000000001</v>
      </c>
      <c r="E34" s="10">
        <v>-1346.3</v>
      </c>
      <c r="F34" s="10">
        <v>-1436.537</v>
      </c>
      <c r="G34" s="10">
        <v>-1407.2</v>
      </c>
      <c r="H34" s="10">
        <v>-1287.4000000000001</v>
      </c>
      <c r="I34" s="10">
        <v>-1323.6</v>
      </c>
      <c r="J34" s="10">
        <v>-1258.8</v>
      </c>
      <c r="K34" s="10">
        <v>-1279.3</v>
      </c>
      <c r="L34" s="10">
        <v>-1224.4000000000001</v>
      </c>
      <c r="M34" s="10">
        <v>-1437.1</v>
      </c>
      <c r="N34" s="10">
        <v>-1389.4</v>
      </c>
      <c r="O34" s="10">
        <v>-1321.2</v>
      </c>
      <c r="P34" s="10">
        <v>-1347.6</v>
      </c>
      <c r="Q34" s="10">
        <v>-1395.7</v>
      </c>
      <c r="R34" s="10">
        <v>-1288.3</v>
      </c>
      <c r="S34" s="10">
        <v>-1539.3</v>
      </c>
      <c r="T34" s="10">
        <v>-1464.7</v>
      </c>
      <c r="U34" s="10">
        <v>-1846</v>
      </c>
      <c r="V34" s="10">
        <v>-1829.5</v>
      </c>
      <c r="W34" s="10">
        <v>-1670.2</v>
      </c>
      <c r="X34" s="10">
        <v>-1690.7</v>
      </c>
      <c r="Y34" s="10">
        <v>-1911.8</v>
      </c>
      <c r="Z34" s="10">
        <v>-2025.5</v>
      </c>
      <c r="AA34" s="10">
        <v>-1915.4</v>
      </c>
      <c r="AB34" s="10">
        <v>-1730</v>
      </c>
      <c r="AC34" s="10">
        <v>-1750</v>
      </c>
      <c r="AD34" s="10">
        <v>-1841</v>
      </c>
      <c r="AE34" s="10">
        <v>-1916.4</v>
      </c>
      <c r="AF34" s="10">
        <v>-1737.9</v>
      </c>
      <c r="AG34" s="10">
        <v>-1887.7</v>
      </c>
      <c r="AH34" s="10">
        <v>-1825.3000000000002</v>
      </c>
      <c r="AI34" s="10">
        <v>-1806.6</v>
      </c>
      <c r="AK34" s="10">
        <f>SUM(D34:G34)</f>
        <v>-5421.9369999999999</v>
      </c>
      <c r="AL34" s="10">
        <f>SUM(H34:K34)</f>
        <v>-5149.1000000000004</v>
      </c>
      <c r="AM34" s="10">
        <f>SUM(L34:O34)</f>
        <v>-5372.1</v>
      </c>
      <c r="AN34" s="10">
        <f>SUM(P34:S34)</f>
        <v>-5570.9000000000005</v>
      </c>
      <c r="AO34" s="10">
        <f>SUM(T34:W34)</f>
        <v>-6810.4</v>
      </c>
      <c r="AP34" s="10">
        <f>SUM(X34:AA34)</f>
        <v>-7543.4</v>
      </c>
      <c r="AQ34" s="10">
        <f>SUM(AB34:AE34)</f>
        <v>-7237.4</v>
      </c>
      <c r="AR34" s="10">
        <f>SUM(AF34:AI34)</f>
        <v>-7257.5</v>
      </c>
    </row>
    <row r="35" spans="1:44" s="4" customFormat="1" ht="16.5">
      <c r="A35"/>
      <c r="B35" s="57" t="s">
        <v>80</v>
      </c>
      <c r="C35" s="57" t="s">
        <v>319</v>
      </c>
      <c r="D35" s="56">
        <f t="shared" ref="D35:S35" si="19">D33+D34</f>
        <v>164.95893172999945</v>
      </c>
      <c r="E35" s="56">
        <f t="shared" si="19"/>
        <v>179.04603646000055</v>
      </c>
      <c r="F35" s="56">
        <f t="shared" si="19"/>
        <v>253.88602130999993</v>
      </c>
      <c r="G35" s="56">
        <f t="shared" si="19"/>
        <v>190.79999999999995</v>
      </c>
      <c r="H35" s="56">
        <f t="shared" si="19"/>
        <v>178.79999999999995</v>
      </c>
      <c r="I35" s="56">
        <f t="shared" si="19"/>
        <v>105.904</v>
      </c>
      <c r="J35" s="56">
        <f t="shared" si="19"/>
        <v>135.29999999999995</v>
      </c>
      <c r="K35" s="56">
        <f t="shared" si="19"/>
        <v>123.89999999999986</v>
      </c>
      <c r="L35" s="56">
        <f t="shared" si="19"/>
        <v>111.09999999999991</v>
      </c>
      <c r="M35" s="56">
        <f t="shared" si="19"/>
        <v>122.30000000000018</v>
      </c>
      <c r="N35" s="56">
        <f t="shared" si="19"/>
        <v>122.19999999999982</v>
      </c>
      <c r="O35" s="56">
        <f t="shared" si="19"/>
        <v>212.79999999999995</v>
      </c>
      <c r="P35" s="56">
        <f t="shared" si="19"/>
        <v>138.40000000000009</v>
      </c>
      <c r="Q35" s="56">
        <f t="shared" si="19"/>
        <v>189.59999999999991</v>
      </c>
      <c r="R35" s="56">
        <f t="shared" si="19"/>
        <v>140.80000000000018</v>
      </c>
      <c r="S35" s="56">
        <f t="shared" si="19"/>
        <v>186.79999999999995</v>
      </c>
      <c r="T35" s="56">
        <v>141</v>
      </c>
      <c r="U35" s="56">
        <v>180.09999999999991</v>
      </c>
      <c r="V35" s="56">
        <v>261.89999999999998</v>
      </c>
      <c r="W35" s="56">
        <v>232.79999999999995</v>
      </c>
      <c r="X35" s="56">
        <v>210.20000000000005</v>
      </c>
      <c r="Y35" s="56">
        <v>199.39999999999986</v>
      </c>
      <c r="Z35" s="56">
        <v>99.5</v>
      </c>
      <c r="AA35" s="56">
        <v>100.5</v>
      </c>
      <c r="AB35" s="56">
        <v>78.099999999999909</v>
      </c>
      <c r="AC35" s="56">
        <v>26.871999999999844</v>
      </c>
      <c r="AD35" s="56">
        <v>185.55199999999991</v>
      </c>
      <c r="AE35" s="56">
        <v>185.79999999999973</v>
      </c>
      <c r="AF35" s="56">
        <f>SUM(AF33:AF34)</f>
        <v>172.39999999999986</v>
      </c>
      <c r="AG35" s="56">
        <f>SUM(AG33:AG34)</f>
        <v>274.19999999999959</v>
      </c>
      <c r="AH35" s="56">
        <f>SUM(AH33:AH34)</f>
        <v>217.19999999999982</v>
      </c>
      <c r="AI35" s="56">
        <f>SUM(AI33:AI34)</f>
        <v>194.20000000000005</v>
      </c>
      <c r="AK35" s="56">
        <f t="shared" ref="AK35:AP35" si="20">SUM(AK33:AK34)</f>
        <v>788.69098949999989</v>
      </c>
      <c r="AL35" s="56">
        <f t="shared" si="20"/>
        <v>543.90399999999954</v>
      </c>
      <c r="AM35" s="56">
        <f t="shared" si="20"/>
        <v>568.39999999999964</v>
      </c>
      <c r="AN35" s="56">
        <f t="shared" si="20"/>
        <v>655.59999999999945</v>
      </c>
      <c r="AO35" s="56">
        <f t="shared" si="20"/>
        <v>815.80000000000109</v>
      </c>
      <c r="AP35" s="56">
        <f t="shared" si="20"/>
        <v>609.60000000000036</v>
      </c>
      <c r="AQ35" s="56">
        <f>SUM(AQ33:AQ34)</f>
        <v>476.32399999999961</v>
      </c>
      <c r="AR35" s="56">
        <f>SUM(AF35:AI35)</f>
        <v>857.99999999999932</v>
      </c>
    </row>
    <row r="36" spans="1:44" s="4" customFormat="1" ht="16.5">
      <c r="A36"/>
      <c r="B36" s="57" t="s">
        <v>169</v>
      </c>
      <c r="C36" s="57" t="s">
        <v>290</v>
      </c>
      <c r="D36" s="69">
        <f t="shared" ref="D36:W36" si="21">D35/D33</f>
        <v>0.11809276368781135</v>
      </c>
      <c r="E36" s="69">
        <f t="shared" si="21"/>
        <v>0.11738060228977801</v>
      </c>
      <c r="F36" s="69">
        <f t="shared" si="21"/>
        <v>0.15019082094211539</v>
      </c>
      <c r="G36" s="69">
        <f t="shared" si="21"/>
        <v>0.11939924906132662</v>
      </c>
      <c r="H36" s="69">
        <f t="shared" si="21"/>
        <v>0.12194789251125354</v>
      </c>
      <c r="I36" s="69">
        <f t="shared" si="21"/>
        <v>7.4084437679083098E-2</v>
      </c>
      <c r="J36" s="69">
        <f t="shared" si="21"/>
        <v>9.7051861415967264E-2</v>
      </c>
      <c r="K36" s="69">
        <f t="shared" si="21"/>
        <v>8.8298175598631609E-2</v>
      </c>
      <c r="L36" s="69">
        <f t="shared" si="21"/>
        <v>8.3189816548109252E-2</v>
      </c>
      <c r="M36" s="69">
        <f t="shared" si="21"/>
        <v>7.8427600359112587E-2</v>
      </c>
      <c r="N36" s="69">
        <f t="shared" si="21"/>
        <v>8.0841492458322187E-2</v>
      </c>
      <c r="O36" s="69">
        <f t="shared" si="21"/>
        <v>0.13872229465449801</v>
      </c>
      <c r="P36" s="69">
        <f t="shared" si="21"/>
        <v>9.3135935397039099E-2</v>
      </c>
      <c r="Q36" s="69">
        <f t="shared" si="21"/>
        <v>0.11959881410458582</v>
      </c>
      <c r="R36" s="69">
        <f t="shared" si="21"/>
        <v>9.8523546287873603E-2</v>
      </c>
      <c r="S36" s="69">
        <f t="shared" si="21"/>
        <v>0.10822084467875556</v>
      </c>
      <c r="T36" s="69">
        <f t="shared" si="21"/>
        <v>8.7812169147412342E-2</v>
      </c>
      <c r="U36" s="69">
        <f t="shared" si="21"/>
        <v>8.8889985686787382E-2</v>
      </c>
      <c r="V36" s="69">
        <f t="shared" si="21"/>
        <v>0.12522712058907906</v>
      </c>
      <c r="W36" s="69">
        <f t="shared" si="21"/>
        <v>0.12233315817130844</v>
      </c>
      <c r="X36" s="69">
        <v>0.11057919932663476</v>
      </c>
      <c r="Y36" s="69">
        <v>9.4448654793482328E-2</v>
      </c>
      <c r="Z36" s="69">
        <v>4.6823529411764708E-2</v>
      </c>
      <c r="AA36" s="69">
        <v>4.9853663376159527E-2</v>
      </c>
      <c r="AB36" s="69">
        <f>IFERROR(AB35/AB33,0)</f>
        <v>4.3194513577788793E-2</v>
      </c>
      <c r="AC36" s="69">
        <v>1.5123205273086551E-2</v>
      </c>
      <c r="AD36" s="69">
        <v>9.1560443551411422E-2</v>
      </c>
      <c r="AE36" s="69">
        <f>IFERROR(AE35/AE33,0)</f>
        <v>8.838359813528672E-2</v>
      </c>
      <c r="AF36" s="69">
        <f>IFERROR(AF35/AF33,0)</f>
        <v>9.0247605088205965E-2</v>
      </c>
      <c r="AG36" s="69">
        <f>IFERROR(AG35/AG33,0)</f>
        <v>0.12683287848651631</v>
      </c>
      <c r="AH36" s="69">
        <f>IFERROR(AH35/AH33,0)</f>
        <v>0.10634026927784569</v>
      </c>
      <c r="AI36" s="69">
        <f>IFERROR(AI35/AI33,0)</f>
        <v>9.7061175529788116E-2</v>
      </c>
      <c r="AK36" s="69">
        <f t="shared" ref="AK36:AP36" si="22">IFERROR(AK35/AK33,0)</f>
        <v>0.12699053796707846</v>
      </c>
      <c r="AL36" s="69">
        <f t="shared" si="22"/>
        <v>9.5539015957129061E-2</v>
      </c>
      <c r="AM36" s="69">
        <f t="shared" si="22"/>
        <v>9.5682181634542479E-2</v>
      </c>
      <c r="AN36" s="69">
        <f t="shared" si="22"/>
        <v>0.10529189753473051</v>
      </c>
      <c r="AO36" s="69">
        <f t="shared" si="22"/>
        <v>0.10697332878760077</v>
      </c>
      <c r="AP36" s="69">
        <f t="shared" si="22"/>
        <v>7.4770023304305211E-2</v>
      </c>
      <c r="AQ36" s="69">
        <f>IFERROR(AQ35/AQ33,0)</f>
        <v>6.1750200033083846E-2</v>
      </c>
      <c r="AR36" s="69">
        <f>IFERROR(AR35/AR33,0)</f>
        <v>0.10572361530404772</v>
      </c>
    </row>
    <row r="37" spans="1:44" s="4" customFormat="1" ht="16.5">
      <c r="A37"/>
      <c r="B37" s="2"/>
      <c r="C37" s="2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K37" s="28"/>
      <c r="AL37" s="28"/>
      <c r="AM37" s="28"/>
      <c r="AN37" s="28"/>
      <c r="AO37" s="28"/>
      <c r="AP37" s="28"/>
      <c r="AQ37" s="28"/>
      <c r="AR37" s="28"/>
    </row>
    <row r="38" spans="1:44" s="4" customFormat="1" ht="16.5">
      <c r="A38"/>
      <c r="B38" s="57" t="s">
        <v>0</v>
      </c>
      <c r="C38" s="57" t="s">
        <v>0</v>
      </c>
      <c r="D38" s="56">
        <v>140</v>
      </c>
      <c r="E38" s="56">
        <v>154</v>
      </c>
      <c r="F38" s="56">
        <v>230.43700000000001</v>
      </c>
      <c r="G38" s="56">
        <v>164.5</v>
      </c>
      <c r="H38" s="56">
        <v>156</v>
      </c>
      <c r="I38" s="56">
        <v>81.600000000000009</v>
      </c>
      <c r="J38" s="56">
        <v>115.9</v>
      </c>
      <c r="K38" s="56">
        <v>94</v>
      </c>
      <c r="L38" s="56">
        <v>82.5</v>
      </c>
      <c r="M38" s="56">
        <v>102.9</v>
      </c>
      <c r="N38" s="56">
        <v>95.100000000000009</v>
      </c>
      <c r="O38" s="56">
        <v>185.20000000000002</v>
      </c>
      <c r="P38" s="56">
        <v>105.00000000000001</v>
      </c>
      <c r="Q38" s="56">
        <v>137.80000000000001</v>
      </c>
      <c r="R38" s="56">
        <v>109.79999999999998</v>
      </c>
      <c r="S38" s="56">
        <v>147.4</v>
      </c>
      <c r="T38" s="56">
        <v>101.7</v>
      </c>
      <c r="U38" s="56">
        <v>133.5</v>
      </c>
      <c r="V38" s="56">
        <v>219.4</v>
      </c>
      <c r="W38" s="56">
        <v>198.4</v>
      </c>
      <c r="X38" s="56">
        <v>157.10000000000002</v>
      </c>
      <c r="Y38" s="56">
        <v>181.6</v>
      </c>
      <c r="Z38" s="56">
        <v>59.9</v>
      </c>
      <c r="AA38" s="56">
        <v>63.4</v>
      </c>
      <c r="AB38" s="56">
        <v>30.700000000000003</v>
      </c>
      <c r="AC38" s="56">
        <v>-11.100000000000001</v>
      </c>
      <c r="AD38" s="56">
        <v>152.09800000000001</v>
      </c>
      <c r="AE38" s="56">
        <v>135.5</v>
      </c>
      <c r="AF38" s="56">
        <v>110.1</v>
      </c>
      <c r="AG38" s="56">
        <v>225.90000000000003</v>
      </c>
      <c r="AH38" s="56">
        <v>163.70000000000002</v>
      </c>
      <c r="AI38" s="56">
        <v>139.1</v>
      </c>
      <c r="AK38" s="56">
        <v>688.93700000000001</v>
      </c>
      <c r="AL38" s="56">
        <v>447.5</v>
      </c>
      <c r="AM38" s="56">
        <v>465.70000000000005</v>
      </c>
      <c r="AN38" s="56">
        <v>500</v>
      </c>
      <c r="AO38" s="56">
        <v>653</v>
      </c>
      <c r="AP38" s="56">
        <v>462</v>
      </c>
      <c r="AQ38" s="56">
        <f>SUM(AB38:AE38)</f>
        <v>307.19799999999998</v>
      </c>
      <c r="AR38" s="56">
        <f>SUM(AF38:AI38)</f>
        <v>638.80000000000007</v>
      </c>
    </row>
    <row r="39" spans="1:44" s="4" customFormat="1" ht="16.5">
      <c r="A39"/>
      <c r="B39" s="57" t="s">
        <v>170</v>
      </c>
      <c r="C39" s="57" t="s">
        <v>291</v>
      </c>
      <c r="D39" s="69">
        <f>IFERROR(D38/D33,0)</f>
        <v>0.10022486653438299</v>
      </c>
      <c r="E39" s="69">
        <f>IFERROR(E38/E33,0)</f>
        <v>0.10096069765087587</v>
      </c>
      <c r="F39" s="69">
        <f>IFERROR(F38/F33,0)</f>
        <v>0.13631913260470266</v>
      </c>
      <c r="G39" s="69">
        <f t="shared" ref="G39:K39" si="23">IFERROR(G38/G33,0)</f>
        <v>0.10294117647058823</v>
      </c>
      <c r="H39" s="69">
        <f t="shared" si="23"/>
        <v>0.1063974901104897</v>
      </c>
      <c r="I39" s="69">
        <f t="shared" si="23"/>
        <v>5.7082736389684821E-2</v>
      </c>
      <c r="J39" s="69">
        <f t="shared" si="23"/>
        <v>8.3136073452406575E-2</v>
      </c>
      <c r="K39" s="69">
        <f t="shared" si="23"/>
        <v>6.698973774230331E-2</v>
      </c>
      <c r="L39" s="69">
        <f t="shared" ref="L39" si="24">IFERROR(L38/L33,0)</f>
        <v>6.177461624859603E-2</v>
      </c>
      <c r="M39" s="69">
        <f t="shared" ref="M39" si="25">IFERROR(M38/M33,0)</f>
        <v>6.5986918045402077E-2</v>
      </c>
      <c r="N39" s="69">
        <f t="shared" ref="N39" si="26">IFERROR(N38/N33,0)</f>
        <v>6.2913469171738567E-2</v>
      </c>
      <c r="O39" s="69">
        <f t="shared" ref="O39" si="27">IFERROR(O38/O33,0)</f>
        <v>0.12073011734028684</v>
      </c>
      <c r="P39" s="69">
        <f t="shared" ref="P39" si="28">IFERROR(P38/P33,0)</f>
        <v>7.0659488559892333E-2</v>
      </c>
      <c r="Q39" s="69">
        <f t="shared" ref="Q39" si="29">IFERROR(Q38/Q33,0)</f>
        <v>8.6923610673058732E-2</v>
      </c>
      <c r="R39" s="69">
        <f t="shared" ref="R39" si="30">IFERROR(R38/R33,0)</f>
        <v>7.6831572318242225E-2</v>
      </c>
      <c r="S39" s="69">
        <f t="shared" ref="S39" si="31">IFERROR(S38/S33,0)</f>
        <v>8.5394820694050175E-2</v>
      </c>
      <c r="T39" s="69">
        <f t="shared" ref="T39" si="32">IFERROR(T38/T33,0)</f>
        <v>6.333686242760167E-2</v>
      </c>
      <c r="U39" s="69">
        <f t="shared" ref="U39" si="33">IFERROR(U38/U33,0)</f>
        <v>6.5890133754503727E-2</v>
      </c>
      <c r="V39" s="69">
        <f t="shared" ref="V39" si="34">IFERROR(V38/V33,0)</f>
        <v>0.10490580472410825</v>
      </c>
      <c r="W39" s="69">
        <f t="shared" ref="W39" si="35">IFERROR(W38/W33,0)</f>
        <v>0.10425643720441409</v>
      </c>
      <c r="X39" s="69">
        <f t="shared" ref="X39" si="36">IFERROR(X38/X33,0)</f>
        <v>8.2645062864958707E-2</v>
      </c>
      <c r="Y39" s="69">
        <f t="shared" ref="Y39" si="37">IFERROR(Y38/Y33,0)</f>
        <v>8.6017430845017062E-2</v>
      </c>
      <c r="Z39" s="69">
        <f t="shared" ref="Z39" si="38">IFERROR(Z38/Z33,0)</f>
        <v>2.8188235294117646E-2</v>
      </c>
      <c r="AA39" s="69">
        <f t="shared" ref="AA39" si="39">IFERROR(AA38/AA33,0)</f>
        <v>3.1449972716900636E-2</v>
      </c>
      <c r="AB39" s="69">
        <f t="shared" ref="AB39" si="40">IFERROR(AB38/AB33,0)</f>
        <v>1.6979149383330571E-2</v>
      </c>
      <c r="AC39" s="69">
        <f t="shared" ref="AC39" si="41">IFERROR(AC38/AC33,0)</f>
        <v>-6.2469328122678521E-3</v>
      </c>
      <c r="AD39" s="69">
        <v>7.5052601660357113E-2</v>
      </c>
      <c r="AE39" s="69">
        <f t="shared" ref="AE39:AI39" si="42">IFERROR(AE38/AE33,0)</f>
        <v>6.4456283893064417E-2</v>
      </c>
      <c r="AF39" s="69">
        <f t="shared" si="42"/>
        <v>5.7634926451342716E-2</v>
      </c>
      <c r="AG39" s="69">
        <f t="shared" si="42"/>
        <v>0.10449141958462467</v>
      </c>
      <c r="AH39" s="69">
        <f t="shared" si="42"/>
        <v>8.0146878824969403E-2</v>
      </c>
      <c r="AI39" s="69">
        <f t="shared" si="42"/>
        <v>6.9522191123550584E-2</v>
      </c>
      <c r="AK39" s="69">
        <f>IFERROR(AK38/AK33,0)</f>
        <v>0.11092871786311329</v>
      </c>
      <c r="AL39" s="69">
        <f t="shared" ref="AL39:AP39" si="43">IFERROR(AL38/AL33,0)</f>
        <v>7.8605249530827662E-2</v>
      </c>
      <c r="AM39" s="69">
        <f t="shared" si="43"/>
        <v>7.8394074572847416E-2</v>
      </c>
      <c r="AN39" s="69">
        <f t="shared" si="43"/>
        <v>8.0301935276640174E-2</v>
      </c>
      <c r="AO39" s="69">
        <f t="shared" si="43"/>
        <v>8.5625868715743084E-2</v>
      </c>
      <c r="AP39" s="69">
        <f t="shared" si="43"/>
        <v>5.6666257819207651E-2</v>
      </c>
      <c r="AQ39" s="69">
        <f>IFERROR(AQ38/AQ33,0)</f>
        <v>3.9824862802972989E-2</v>
      </c>
      <c r="AR39" s="69">
        <f>IFERROR(AR38/AR33,0)</f>
        <v>7.8713572792803901E-2</v>
      </c>
    </row>
    <row r="40" spans="1:44" s="4" customFormat="1" ht="16.5">
      <c r="A40"/>
      <c r="B40" s="2"/>
      <c r="C40" s="2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K40" s="28"/>
      <c r="AL40" s="28"/>
      <c r="AM40" s="28"/>
      <c r="AN40" s="28"/>
      <c r="AO40" s="28"/>
      <c r="AP40" s="28"/>
      <c r="AQ40" s="28"/>
      <c r="AR40" s="28"/>
    </row>
    <row r="41" spans="1:44" s="4" customFormat="1" ht="16.5">
      <c r="A41"/>
      <c r="B41" s="57" t="s">
        <v>1</v>
      </c>
      <c r="C41" s="57" t="s">
        <v>1</v>
      </c>
      <c r="D41" s="56">
        <v>159.4</v>
      </c>
      <c r="E41" s="56">
        <v>177.8</v>
      </c>
      <c r="F41" s="56">
        <v>255.79400000000001</v>
      </c>
      <c r="G41" s="56">
        <v>186.9</v>
      </c>
      <c r="H41" s="56">
        <v>177.7</v>
      </c>
      <c r="I41" s="56">
        <v>103.4</v>
      </c>
      <c r="J41" s="56">
        <v>138.4</v>
      </c>
      <c r="K41" s="56">
        <v>117.3</v>
      </c>
      <c r="L41" s="56">
        <v>105.4</v>
      </c>
      <c r="M41" s="56">
        <v>127.2</v>
      </c>
      <c r="N41" s="56">
        <v>120.4</v>
      </c>
      <c r="O41" s="56">
        <v>208.9</v>
      </c>
      <c r="P41" s="56">
        <v>128.80000000000001</v>
      </c>
      <c r="Q41" s="56">
        <v>167</v>
      </c>
      <c r="R41" s="56">
        <v>136.19999999999999</v>
      </c>
      <c r="S41" s="56">
        <v>175.20000000000002</v>
      </c>
      <c r="T41" s="56">
        <v>127.5</v>
      </c>
      <c r="U41" s="56">
        <v>159.6</v>
      </c>
      <c r="V41" s="56">
        <v>248.9</v>
      </c>
      <c r="W41" s="56">
        <v>229.8</v>
      </c>
      <c r="X41" s="56">
        <v>186.8</v>
      </c>
      <c r="Y41" s="56">
        <v>213.6</v>
      </c>
      <c r="Z41" s="56">
        <v>92.7</v>
      </c>
      <c r="AA41" s="56">
        <v>96.5</v>
      </c>
      <c r="AB41" s="56">
        <v>66.400000000000006</v>
      </c>
      <c r="AC41" s="56">
        <v>27</v>
      </c>
      <c r="AD41" s="56">
        <v>190.298</v>
      </c>
      <c r="AE41" s="56">
        <v>188.3</v>
      </c>
      <c r="AF41" s="56">
        <v>155.6</v>
      </c>
      <c r="AG41" s="56">
        <v>272.70000000000005</v>
      </c>
      <c r="AH41" s="56">
        <v>210.3</v>
      </c>
      <c r="AI41" s="56">
        <v>192</v>
      </c>
      <c r="AK41" s="56">
        <f>SUM(D41:G41)</f>
        <v>779.89400000000001</v>
      </c>
      <c r="AL41" s="56">
        <f>SUM(H41:K41)</f>
        <v>536.79999999999995</v>
      </c>
      <c r="AM41" s="56">
        <f>SUM(L41:O41)</f>
        <v>561.9</v>
      </c>
      <c r="AN41" s="56">
        <f>SUM(P41:S41)</f>
        <v>607.20000000000005</v>
      </c>
      <c r="AO41" s="56">
        <f>SUM(T41:W41)</f>
        <v>765.8</v>
      </c>
      <c r="AP41" s="56">
        <f>SUM(X41:AA41)</f>
        <v>589.59999999999991</v>
      </c>
      <c r="AQ41" s="56">
        <f>SUM(AB41:AE41)</f>
        <v>471.99799999999999</v>
      </c>
      <c r="AR41" s="56">
        <f>SUM(AF41:AI41)</f>
        <v>830.60000000000014</v>
      </c>
    </row>
    <row r="42" spans="1:44" s="4" customFormat="1" ht="16.5">
      <c r="A42"/>
      <c r="B42" s="57" t="s">
        <v>97</v>
      </c>
      <c r="C42" s="57" t="s">
        <v>237</v>
      </c>
      <c r="D42" s="69">
        <f t="shared" ref="D42:W42" si="44">D41/D33</f>
        <v>0.11411316946843321</v>
      </c>
      <c r="E42" s="69">
        <f t="shared" si="44"/>
        <v>0.1165637145605567</v>
      </c>
      <c r="F42" s="69">
        <f t="shared" si="44"/>
        <v>0.15131951989258371</v>
      </c>
      <c r="G42" s="69">
        <f t="shared" si="44"/>
        <v>0.11695869837296621</v>
      </c>
      <c r="H42" s="69">
        <f t="shared" si="44"/>
        <v>0.12119765379893602</v>
      </c>
      <c r="I42" s="69">
        <f t="shared" si="44"/>
        <v>7.2332781160458465E-2</v>
      </c>
      <c r="J42" s="69">
        <f t="shared" si="44"/>
        <v>9.927551825550536E-2</v>
      </c>
      <c r="K42" s="69">
        <f t="shared" si="44"/>
        <v>8.3594640820980629E-2</v>
      </c>
      <c r="L42" s="69">
        <f t="shared" si="44"/>
        <v>7.8921752152751781E-2</v>
      </c>
      <c r="M42" s="69">
        <f t="shared" si="44"/>
        <v>8.1569834551750667E-2</v>
      </c>
      <c r="N42" s="69">
        <f t="shared" si="44"/>
        <v>7.9650701243715274E-2</v>
      </c>
      <c r="O42" s="69">
        <f t="shared" si="44"/>
        <v>0.13617992177314212</v>
      </c>
      <c r="P42" s="69">
        <f t="shared" si="44"/>
        <v>8.6675639300134596E-2</v>
      </c>
      <c r="Q42" s="69">
        <f t="shared" si="44"/>
        <v>0.10534283731785782</v>
      </c>
      <c r="R42" s="69">
        <f t="shared" si="44"/>
        <v>9.530473724721851E-2</v>
      </c>
      <c r="S42" s="69">
        <f t="shared" si="44"/>
        <v>0.10150049243960374</v>
      </c>
      <c r="T42" s="69">
        <f t="shared" si="44"/>
        <v>7.9404621037553719E-2</v>
      </c>
      <c r="U42" s="69">
        <f t="shared" si="44"/>
        <v>7.8772025072799956E-2</v>
      </c>
      <c r="V42" s="69">
        <f t="shared" si="44"/>
        <v>0.11901118867744094</v>
      </c>
      <c r="W42" s="69">
        <f t="shared" si="44"/>
        <v>0.1207566999474514</v>
      </c>
      <c r="X42" s="69">
        <v>9.8269240885896156E-2</v>
      </c>
      <c r="Y42" s="69">
        <v>0.10117468738158394</v>
      </c>
      <c r="Z42" s="69">
        <v>4.3623529411764707E-2</v>
      </c>
      <c r="AA42" s="69">
        <v>4.7869437968153183E-2</v>
      </c>
      <c r="AB42" s="69">
        <f>AB41/AB33</f>
        <v>3.6723632542447877E-2</v>
      </c>
      <c r="AC42" s="69">
        <v>1.5195241975786665E-2</v>
      </c>
      <c r="AD42" s="69">
        <v>9.3902352369936729E-2</v>
      </c>
      <c r="AE42" s="69">
        <f>AE41/AE33</f>
        <v>8.9572828465417198E-2</v>
      </c>
      <c r="AF42" s="69">
        <f>AF41/AF33</f>
        <v>8.14531748939957E-2</v>
      </c>
      <c r="AG42" s="69">
        <f>AG41/AG33</f>
        <v>0.12613904435912859</v>
      </c>
      <c r="AH42" s="69">
        <f>AH41/AH33</f>
        <v>0.10296205630354957</v>
      </c>
      <c r="AI42" s="69">
        <f>AI41/AI33</f>
        <v>9.5961615353858457E-2</v>
      </c>
      <c r="AK42" s="69">
        <f t="shared" ref="AK42:AP42" si="45">IFERROR(AK41/AK33,0)</f>
        <v>0.12557409674489087</v>
      </c>
      <c r="AL42" s="69">
        <f t="shared" si="45"/>
        <v>9.4291168599214048E-2</v>
      </c>
      <c r="AM42" s="69">
        <f t="shared" si="45"/>
        <v>9.4587997643296021E-2</v>
      </c>
      <c r="AN42" s="69">
        <f t="shared" si="45"/>
        <v>9.7518670199951821E-2</v>
      </c>
      <c r="AO42" s="69">
        <f t="shared" si="45"/>
        <v>0.10041698355668614</v>
      </c>
      <c r="AP42" s="69">
        <f t="shared" si="45"/>
        <v>7.2316938550226903E-2</v>
      </c>
      <c r="AQ42" s="69">
        <f>IFERROR(AQ41/AQ33,0)</f>
        <v>6.1189381419402618E-2</v>
      </c>
      <c r="AR42" s="69">
        <f>IFERROR(AR41/AR33,0)</f>
        <v>0.10234735999014234</v>
      </c>
    </row>
    <row r="43" spans="1:44" s="4" customFormat="1" ht="16.5">
      <c r="A43"/>
    </row>
    <row r="44" spans="1:44" s="4" customFormat="1" ht="16.5">
      <c r="A44"/>
      <c r="B44" s="6" t="s">
        <v>9</v>
      </c>
      <c r="C44" s="6" t="s">
        <v>9</v>
      </c>
      <c r="D44" s="7" t="s">
        <v>401</v>
      </c>
      <c r="E44" s="8" t="s">
        <v>402</v>
      </c>
      <c r="F44" s="7" t="s">
        <v>403</v>
      </c>
      <c r="G44" s="7" t="s">
        <v>404</v>
      </c>
      <c r="H44" s="7" t="s">
        <v>405</v>
      </c>
      <c r="I44" s="8" t="s">
        <v>406</v>
      </c>
      <c r="J44" s="8" t="s">
        <v>407</v>
      </c>
      <c r="K44" s="8" t="s">
        <v>408</v>
      </c>
      <c r="L44" s="8" t="s">
        <v>409</v>
      </c>
      <c r="M44" s="8" t="s">
        <v>410</v>
      </c>
      <c r="N44" s="8" t="s">
        <v>411</v>
      </c>
      <c r="O44" s="8" t="s">
        <v>412</v>
      </c>
      <c r="P44" s="8" t="s">
        <v>413</v>
      </c>
      <c r="Q44" s="8" t="s">
        <v>414</v>
      </c>
      <c r="R44" s="8" t="s">
        <v>415</v>
      </c>
      <c r="S44" s="17" t="s">
        <v>416</v>
      </c>
      <c r="T44" s="17" t="s">
        <v>417</v>
      </c>
      <c r="U44" s="17" t="s">
        <v>418</v>
      </c>
      <c r="V44" s="17" t="s">
        <v>419</v>
      </c>
      <c r="W44" s="17" t="s">
        <v>425</v>
      </c>
      <c r="X44" s="17" t="s">
        <v>420</v>
      </c>
      <c r="Y44" s="17" t="s">
        <v>421</v>
      </c>
      <c r="Z44" s="17" t="s">
        <v>422</v>
      </c>
      <c r="AA44" s="17" t="s">
        <v>423</v>
      </c>
      <c r="AB44" s="17" t="s">
        <v>424</v>
      </c>
      <c r="AC44" s="17" t="s">
        <v>400</v>
      </c>
      <c r="AD44" s="17" t="s">
        <v>429</v>
      </c>
      <c r="AE44" s="17" t="str">
        <f>AE5</f>
        <v>4Q23</v>
      </c>
      <c r="AF44" s="17" t="str">
        <f>AF5</f>
        <v>1Q24</v>
      </c>
      <c r="AG44" s="17" t="str">
        <f>AG5</f>
        <v>2Q24</v>
      </c>
      <c r="AH44" s="17" t="s">
        <v>442</v>
      </c>
      <c r="AI44" s="17" t="str">
        <f>AI5</f>
        <v>4Q24</v>
      </c>
      <c r="AK44" s="17" t="str">
        <f t="shared" ref="AK44:AP44" si="46">AK31</f>
        <v>2017</v>
      </c>
      <c r="AL44" s="17" t="str">
        <f t="shared" si="46"/>
        <v>2018</v>
      </c>
      <c r="AM44" s="17" t="str">
        <f t="shared" si="46"/>
        <v>2019</v>
      </c>
      <c r="AN44" s="17" t="str">
        <f t="shared" si="46"/>
        <v>2020</v>
      </c>
      <c r="AO44" s="17" t="str">
        <f t="shared" si="46"/>
        <v>2021</v>
      </c>
      <c r="AP44" s="17" t="str">
        <f t="shared" si="46"/>
        <v>2022</v>
      </c>
      <c r="AQ44" s="148">
        <f t="shared" ref="AQ44:AR44" si="47">AQ31</f>
        <v>2023</v>
      </c>
      <c r="AR44" s="148">
        <f t="shared" si="47"/>
        <v>2024</v>
      </c>
    </row>
    <row r="45" spans="1:44" s="4" customFormat="1" ht="16.5">
      <c r="A45"/>
    </row>
    <row r="46" spans="1:44" s="4" customFormat="1" ht="16.5">
      <c r="A46"/>
      <c r="B46" s="57" t="s">
        <v>78</v>
      </c>
      <c r="C46" s="57" t="s">
        <v>239</v>
      </c>
      <c r="D46" s="60">
        <v>2479.34</v>
      </c>
      <c r="E46" s="60">
        <v>2752.2860000000001</v>
      </c>
      <c r="F46" s="60">
        <v>2793.8850000000002</v>
      </c>
      <c r="G46" s="60">
        <v>2742.3519999999999</v>
      </c>
      <c r="H46" s="60">
        <v>2746.6779999999999</v>
      </c>
      <c r="I46" s="60">
        <v>2836.7130000000002</v>
      </c>
      <c r="J46" s="60">
        <v>2697.6039999999998</v>
      </c>
      <c r="K46" s="60">
        <v>2656.7890000000002</v>
      </c>
      <c r="L46" s="60">
        <v>2724.6750000000002</v>
      </c>
      <c r="M46" s="60">
        <v>2843.085</v>
      </c>
      <c r="N46" s="60">
        <v>2777.97</v>
      </c>
      <c r="O46" s="60">
        <v>3063.489</v>
      </c>
      <c r="P46" s="60">
        <v>3074.9</v>
      </c>
      <c r="Q46" s="60">
        <v>2824</v>
      </c>
      <c r="R46" s="60">
        <v>3075.1210000000001</v>
      </c>
      <c r="S46" s="60">
        <v>3117.8290000000002</v>
      </c>
      <c r="T46" s="60">
        <v>3273.4250000000002</v>
      </c>
      <c r="U46" s="60">
        <v>3637.6979999999999</v>
      </c>
      <c r="V46" s="60">
        <v>3827.6</v>
      </c>
      <c r="W46" s="60">
        <v>4038.8</v>
      </c>
      <c r="X46" s="60">
        <v>4240.3950000000004</v>
      </c>
      <c r="Y46" s="60">
        <v>4631.6480000000001</v>
      </c>
      <c r="Z46" s="60">
        <v>4469</v>
      </c>
      <c r="AA46" s="60">
        <v>4127.3649999999998</v>
      </c>
      <c r="AB46" s="60">
        <v>4165.6279999999997</v>
      </c>
      <c r="AC46" s="60">
        <v>4308.0910000000003</v>
      </c>
      <c r="AD46" s="60">
        <v>4360.2</v>
      </c>
      <c r="AE46" s="60">
        <v>4528.3019999999997</v>
      </c>
      <c r="AF46" s="60">
        <v>4361.9340000000002</v>
      </c>
      <c r="AG46" s="60">
        <v>4559.3140000000003</v>
      </c>
      <c r="AH46" s="60">
        <v>4584.9790000000003</v>
      </c>
      <c r="AI46" s="60">
        <v>4372.0640000000003</v>
      </c>
      <c r="AK46" s="60">
        <f>SUM(D46:G46)</f>
        <v>10767.863000000001</v>
      </c>
      <c r="AL46" s="60">
        <f>SUM(H46:K46)</f>
        <v>10937.784</v>
      </c>
      <c r="AM46" s="60">
        <f>SUM(L46:O46)</f>
        <v>11409.218999999999</v>
      </c>
      <c r="AN46" s="60">
        <f>SUM(P46:S46)</f>
        <v>12091.85</v>
      </c>
      <c r="AO46" s="60">
        <f>SUM(T46:W46)</f>
        <v>14777.523000000001</v>
      </c>
      <c r="AP46" s="60">
        <f>SUM(X46:AA46)</f>
        <v>17468.408000000003</v>
      </c>
      <c r="AQ46" s="60">
        <f>SUM(AB46:AE46)</f>
        <v>17362.221000000001</v>
      </c>
      <c r="AR46" s="60">
        <f>SUM(AF46:AI46)</f>
        <v>17878.290999999997</v>
      </c>
    </row>
    <row r="47" spans="1:44" s="9" customFormat="1" ht="16.5">
      <c r="A47"/>
      <c r="B47" s="9" t="s">
        <v>168</v>
      </c>
      <c r="C47" s="9" t="s">
        <v>318</v>
      </c>
      <c r="D47" s="10">
        <v>-2222.8049999999998</v>
      </c>
      <c r="E47" s="10">
        <v>-2277.4540000000002</v>
      </c>
      <c r="F47" s="10">
        <v>-2315.3009999999999</v>
      </c>
      <c r="G47" s="10">
        <v>-2480.5479999999998</v>
      </c>
      <c r="H47" s="10">
        <v>-2459.0129999999999</v>
      </c>
      <c r="I47" s="10">
        <v>-2562.491</v>
      </c>
      <c r="J47" s="10">
        <v>-2527.8629999999998</v>
      </c>
      <c r="K47" s="10">
        <v>-2544.9409999999998</v>
      </c>
      <c r="L47" s="10">
        <v>-2505.7359999999999</v>
      </c>
      <c r="M47" s="10">
        <v>-2475.221</v>
      </c>
      <c r="N47" s="10">
        <v>-2495.7730000000001</v>
      </c>
      <c r="O47" s="10">
        <v>-2862.0940000000001</v>
      </c>
      <c r="P47" s="10">
        <v>-2897.8290000000002</v>
      </c>
      <c r="Q47" s="10">
        <v>-2704.1640000000002</v>
      </c>
      <c r="R47" s="10">
        <v>-2761.279</v>
      </c>
      <c r="S47" s="10">
        <v>-2890.433</v>
      </c>
      <c r="T47" s="10">
        <v>-3012.1819999999998</v>
      </c>
      <c r="U47" s="10">
        <v>-3257.4569999999999</v>
      </c>
      <c r="V47" s="10">
        <v>-3455.7</v>
      </c>
      <c r="W47" s="10">
        <v>-3686.2689999999998</v>
      </c>
      <c r="X47" s="10">
        <v>-3698.415</v>
      </c>
      <c r="Y47" s="10">
        <v>-3954.877</v>
      </c>
      <c r="Z47" s="10">
        <v>-3971.6990000000001</v>
      </c>
      <c r="AA47" s="10">
        <v>-4031.5830000000001</v>
      </c>
      <c r="AB47" s="10">
        <v>-3992.5810000000001</v>
      </c>
      <c r="AC47" s="10">
        <v>-4029.6660000000002</v>
      </c>
      <c r="AD47" s="10">
        <v>-4014.3139999999999</v>
      </c>
      <c r="AE47" s="10">
        <v>-4207.2550000000001</v>
      </c>
      <c r="AF47" s="10">
        <v>-3978.0250000000001</v>
      </c>
      <c r="AG47" s="10">
        <v>-3867.6880000000001</v>
      </c>
      <c r="AH47" s="10">
        <v>-3901.009</v>
      </c>
      <c r="AI47" s="10">
        <v>-3818.8020000000001</v>
      </c>
      <c r="AK47" s="10">
        <f>SUM(D47:G47)</f>
        <v>-9296.1080000000002</v>
      </c>
      <c r="AL47" s="10">
        <f>SUM(H47:K47)</f>
        <v>-10094.308000000001</v>
      </c>
      <c r="AM47" s="10">
        <f>SUM(L47:O47)</f>
        <v>-10338.824000000001</v>
      </c>
      <c r="AN47" s="10">
        <f>SUM(P47:S47)</f>
        <v>-11253.705000000002</v>
      </c>
      <c r="AO47" s="10">
        <f>SUM(T47:W47)</f>
        <v>-13411.608</v>
      </c>
      <c r="AP47" s="10">
        <f>SUM(X47:AA47)</f>
        <v>-15656.574000000001</v>
      </c>
      <c r="AQ47" s="10">
        <f>SUM(AB47:AE47)</f>
        <v>-16243.815999999999</v>
      </c>
      <c r="AR47" s="10">
        <f>SUM(AF47:AI47)</f>
        <v>-15565.523999999999</v>
      </c>
    </row>
    <row r="48" spans="1:44" s="4" customFormat="1" ht="16.5">
      <c r="A48"/>
      <c r="B48" s="57" t="s">
        <v>80</v>
      </c>
      <c r="C48" s="57" t="s">
        <v>319</v>
      </c>
      <c r="D48" s="56">
        <f t="shared" ref="D48:S48" si="48">D46+D47</f>
        <v>256.53500000000031</v>
      </c>
      <c r="E48" s="56">
        <f t="shared" si="48"/>
        <v>474.83199999999988</v>
      </c>
      <c r="F48" s="56">
        <f t="shared" si="48"/>
        <v>478.58400000000029</v>
      </c>
      <c r="G48" s="56">
        <f t="shared" si="48"/>
        <v>261.80400000000009</v>
      </c>
      <c r="H48" s="56">
        <f t="shared" si="48"/>
        <v>287.66499999999996</v>
      </c>
      <c r="I48" s="56">
        <f t="shared" si="48"/>
        <v>274.22200000000021</v>
      </c>
      <c r="J48" s="56">
        <f t="shared" si="48"/>
        <v>169.74099999999999</v>
      </c>
      <c r="K48" s="56">
        <f t="shared" si="48"/>
        <v>111.84800000000041</v>
      </c>
      <c r="L48" s="56">
        <f t="shared" si="48"/>
        <v>218.93900000000031</v>
      </c>
      <c r="M48" s="56">
        <f t="shared" si="48"/>
        <v>367.86400000000003</v>
      </c>
      <c r="N48" s="56">
        <f t="shared" si="48"/>
        <v>282.19699999999966</v>
      </c>
      <c r="O48" s="56">
        <f t="shared" si="48"/>
        <v>201.39499999999998</v>
      </c>
      <c r="P48" s="56">
        <f t="shared" si="48"/>
        <v>177.07099999999991</v>
      </c>
      <c r="Q48" s="56">
        <f t="shared" si="48"/>
        <v>119.83599999999979</v>
      </c>
      <c r="R48" s="56">
        <f t="shared" si="48"/>
        <v>313.8420000000001</v>
      </c>
      <c r="S48" s="56">
        <f t="shared" si="48"/>
        <v>227.39600000000019</v>
      </c>
      <c r="T48" s="56">
        <v>261.24300000000039</v>
      </c>
      <c r="U48" s="56">
        <v>380.24099999999999</v>
      </c>
      <c r="V48" s="56">
        <v>371.8</v>
      </c>
      <c r="W48" s="56">
        <v>352.5310000000004</v>
      </c>
      <c r="X48" s="56">
        <v>541.98000000000047</v>
      </c>
      <c r="Y48" s="56">
        <v>676.77100000000019</v>
      </c>
      <c r="Z48" s="56">
        <v>497.30099999999993</v>
      </c>
      <c r="AA48" s="56">
        <v>95.781999999999698</v>
      </c>
      <c r="AB48" s="56">
        <v>173.04699999999957</v>
      </c>
      <c r="AC48" s="56">
        <v>278.42500000000018</v>
      </c>
      <c r="AD48" s="56">
        <v>345.88599999999997</v>
      </c>
      <c r="AE48" s="56">
        <v>321.04699999999957</v>
      </c>
      <c r="AF48" s="56">
        <f>SUM(AF46:AF47)</f>
        <v>383.90900000000011</v>
      </c>
      <c r="AG48" s="56">
        <f>SUM(AG46:AG47)</f>
        <v>691.6260000000002</v>
      </c>
      <c r="AH48" s="56">
        <f>SUM(AH46:AH47)</f>
        <v>683.97000000000025</v>
      </c>
      <c r="AI48" s="56">
        <f>SUM(AI46:AI47)</f>
        <v>553.26200000000017</v>
      </c>
      <c r="AK48" s="56">
        <f t="shared" ref="AK48:AP48" si="49">SUM(AK46:AK47)</f>
        <v>1471.755000000001</v>
      </c>
      <c r="AL48" s="56">
        <f t="shared" si="49"/>
        <v>843.47599999999875</v>
      </c>
      <c r="AM48" s="56">
        <f t="shared" si="49"/>
        <v>1070.3949999999986</v>
      </c>
      <c r="AN48" s="56">
        <f t="shared" si="49"/>
        <v>838.14499999999862</v>
      </c>
      <c r="AO48" s="56">
        <f t="shared" si="49"/>
        <v>1365.9150000000009</v>
      </c>
      <c r="AP48" s="56">
        <f t="shared" si="49"/>
        <v>1811.8340000000026</v>
      </c>
      <c r="AQ48" s="56">
        <f>SUM(AQ46:AQ47)</f>
        <v>1118.4050000000025</v>
      </c>
      <c r="AR48" s="56">
        <f>SUM(AF48:AI48)</f>
        <v>2312.7670000000007</v>
      </c>
    </row>
    <row r="49" spans="1:45" s="4" customFormat="1" ht="16.5">
      <c r="A49"/>
      <c r="B49" s="57" t="s">
        <v>169</v>
      </c>
      <c r="C49" s="57" t="s">
        <v>290</v>
      </c>
      <c r="D49" s="69">
        <f t="shared" ref="D49:W49" si="50">D48/D46</f>
        <v>0.10346906838110154</v>
      </c>
      <c r="E49" s="69">
        <f t="shared" si="50"/>
        <v>0.17252276834602212</v>
      </c>
      <c r="F49" s="69">
        <f t="shared" si="50"/>
        <v>0.17129695746245827</v>
      </c>
      <c r="G49" s="69">
        <f t="shared" si="50"/>
        <v>9.5466956831216448E-2</v>
      </c>
      <c r="H49" s="69">
        <f t="shared" si="50"/>
        <v>0.10473197076614003</v>
      </c>
      <c r="I49" s="69">
        <f t="shared" si="50"/>
        <v>9.6668926324235196E-2</v>
      </c>
      <c r="J49" s="69">
        <f t="shared" si="50"/>
        <v>6.2922875262640482E-2</v>
      </c>
      <c r="K49" s="69">
        <f t="shared" si="50"/>
        <v>4.2098939735146598E-2</v>
      </c>
      <c r="L49" s="69">
        <f t="shared" si="50"/>
        <v>8.0354170680907E-2</v>
      </c>
      <c r="M49" s="69">
        <f t="shared" si="50"/>
        <v>0.1293890263569327</v>
      </c>
      <c r="N49" s="69">
        <f t="shared" si="50"/>
        <v>0.10158389039478456</v>
      </c>
      <c r="O49" s="69">
        <f t="shared" si="50"/>
        <v>6.5740402527967284E-2</v>
      </c>
      <c r="P49" s="69">
        <f t="shared" si="50"/>
        <v>5.7585937754073273E-2</v>
      </c>
      <c r="Q49" s="69">
        <f t="shared" si="50"/>
        <v>4.2434844192634484E-2</v>
      </c>
      <c r="R49" s="69">
        <f t="shared" si="50"/>
        <v>0.10205842306692975</v>
      </c>
      <c r="S49" s="69">
        <f t="shared" si="50"/>
        <v>7.2934083299629388E-2</v>
      </c>
      <c r="T49" s="69">
        <f t="shared" si="50"/>
        <v>7.9807235540756361E-2</v>
      </c>
      <c r="U49" s="69">
        <f t="shared" si="50"/>
        <v>0.10452791848031365</v>
      </c>
      <c r="V49" s="69">
        <f t="shared" si="50"/>
        <v>9.713658689518237E-2</v>
      </c>
      <c r="W49" s="69">
        <f t="shared" si="50"/>
        <v>8.7286075071803595E-2</v>
      </c>
      <c r="X49" s="69">
        <v>0.12781356453820938</v>
      </c>
      <c r="Y49" s="69">
        <v>0.1461188328646737</v>
      </c>
      <c r="Z49" s="69">
        <v>0.11127791452226447</v>
      </c>
      <c r="AA49" s="69">
        <v>2.3206573685632288E-2</v>
      </c>
      <c r="AB49" s="69">
        <f>IFERROR(AB48/AB46,0)</f>
        <v>4.1541635498897063E-2</v>
      </c>
      <c r="AC49" s="69">
        <v>6.4628393411374122E-2</v>
      </c>
      <c r="AD49" s="69">
        <v>7.9328012476491905E-2</v>
      </c>
      <c r="AE49" s="69">
        <f>IFERROR(AE48/AE46,0)</f>
        <v>7.0897877394219641E-2</v>
      </c>
      <c r="AF49" s="69">
        <f>IFERROR(AF48/AF46,0)</f>
        <v>8.8013482093034903E-2</v>
      </c>
      <c r="AG49" s="69">
        <f>IFERROR(AG48/AG46,0)</f>
        <v>0.15169518923241526</v>
      </c>
      <c r="AH49" s="69">
        <f>IFERROR(AH48/AH46,0)</f>
        <v>0.14917625576911045</v>
      </c>
      <c r="AI49" s="69">
        <f>IFERROR(AI48/AI46,0)</f>
        <v>0.12654480812723695</v>
      </c>
      <c r="AK49" s="69">
        <f t="shared" ref="AK49:AP49" si="51">IFERROR(AK48/AK46,0)</f>
        <v>0.13668032366310762</v>
      </c>
      <c r="AL49" s="69">
        <f t="shared" si="51"/>
        <v>7.7115803347368977E-2</v>
      </c>
      <c r="AM49" s="69">
        <f t="shared" si="51"/>
        <v>9.3818428763616402E-2</v>
      </c>
      <c r="AN49" s="69">
        <f t="shared" si="51"/>
        <v>6.9314869106050656E-2</v>
      </c>
      <c r="AO49" s="69">
        <f t="shared" si="51"/>
        <v>9.2431931927969307E-2</v>
      </c>
      <c r="AP49" s="69">
        <f t="shared" si="51"/>
        <v>0.10372061380750909</v>
      </c>
      <c r="AQ49" s="69">
        <f>IFERROR(AQ48/AQ46,0)</f>
        <v>6.441600991025298E-2</v>
      </c>
      <c r="AR49" s="69">
        <f>IFERROR(AR48/AR46,0)</f>
        <v>0.12936174939763545</v>
      </c>
    </row>
    <row r="50" spans="1:45" s="4" customFormat="1" ht="16.5">
      <c r="A50"/>
      <c r="B50" s="2"/>
      <c r="C50" s="2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K50" s="28"/>
      <c r="AL50" s="28"/>
      <c r="AM50" s="28"/>
      <c r="AN50" s="28"/>
      <c r="AO50" s="28"/>
      <c r="AP50" s="28"/>
      <c r="AQ50" s="28"/>
      <c r="AR50" s="28"/>
    </row>
    <row r="51" spans="1:45" s="4" customFormat="1" ht="16.5">
      <c r="A51"/>
      <c r="B51" s="57" t="s">
        <v>0</v>
      </c>
      <c r="C51" s="57" t="s">
        <v>0</v>
      </c>
      <c r="D51" s="56">
        <v>165.815</v>
      </c>
      <c r="E51" s="56">
        <v>378.92200000000003</v>
      </c>
      <c r="F51" s="56">
        <v>391.79399999999998</v>
      </c>
      <c r="G51" s="56">
        <v>167.84199999999998</v>
      </c>
      <c r="H51" s="56">
        <v>202.61499999999998</v>
      </c>
      <c r="I51" s="56">
        <v>212.233</v>
      </c>
      <c r="J51" s="56">
        <v>84.032999999999987</v>
      </c>
      <c r="K51" s="56">
        <v>42.834000000000003</v>
      </c>
      <c r="L51" s="56">
        <v>137.25799999999998</v>
      </c>
      <c r="M51" s="56">
        <v>277.952</v>
      </c>
      <c r="N51" s="56">
        <v>186.52999999999997</v>
      </c>
      <c r="O51" s="56">
        <v>84.77</v>
      </c>
      <c r="P51" s="56">
        <v>85.727000000000004</v>
      </c>
      <c r="Q51" s="56">
        <v>27.597000000000008</v>
      </c>
      <c r="R51" s="56">
        <v>220.73500000000001</v>
      </c>
      <c r="S51" s="56">
        <v>116.93700000000001</v>
      </c>
      <c r="T51" s="56">
        <v>167.26800000000003</v>
      </c>
      <c r="U51" s="56">
        <v>275.88599999999997</v>
      </c>
      <c r="V51" s="56">
        <v>254.83099999999999</v>
      </c>
      <c r="W51" s="56">
        <v>210.21199999999999</v>
      </c>
      <c r="X51" s="56">
        <v>399.61700000000002</v>
      </c>
      <c r="Y51" s="56">
        <v>523.42399999999998</v>
      </c>
      <c r="Z51" s="56">
        <v>361.53399999999999</v>
      </c>
      <c r="AA51" s="56">
        <v>-39.29</v>
      </c>
      <c r="AB51" s="56">
        <v>53.692000000000007</v>
      </c>
      <c r="AC51" s="56">
        <v>143.86799999999999</v>
      </c>
      <c r="AD51" s="56">
        <v>219.7</v>
      </c>
      <c r="AE51" s="56">
        <v>197.01400000000001</v>
      </c>
      <c r="AF51" s="78">
        <f>+AF54-103.35</f>
        <v>268.54200000000003</v>
      </c>
      <c r="AG51" s="78">
        <f>+AG54-107.948</f>
        <v>547.99099999999999</v>
      </c>
      <c r="AH51" s="78">
        <v>549.90899999999999</v>
      </c>
      <c r="AI51" s="78">
        <f>+AI54-111.854</f>
        <v>413.86600000000004</v>
      </c>
      <c r="AK51" s="56">
        <v>1104.373</v>
      </c>
      <c r="AL51" s="56">
        <v>541.71499999999992</v>
      </c>
      <c r="AM51" s="56">
        <v>686.51</v>
      </c>
      <c r="AN51" s="56">
        <v>450.99600000000004</v>
      </c>
      <c r="AO51" s="56">
        <v>908.197</v>
      </c>
      <c r="AP51" s="56">
        <v>1245.2849999999999</v>
      </c>
      <c r="AQ51" s="56">
        <f>SUM(AB51:AE51)</f>
        <v>614.274</v>
      </c>
      <c r="AR51" s="56">
        <f>SUM(AF51:AI51)</f>
        <v>1780.308</v>
      </c>
    </row>
    <row r="52" spans="1:45" s="4" customFormat="1" ht="16.5">
      <c r="A52"/>
      <c r="B52" s="57" t="s">
        <v>170</v>
      </c>
      <c r="C52" s="57" t="s">
        <v>291</v>
      </c>
      <c r="D52" s="69">
        <f>IFERROR(D51/D46,0)</f>
        <v>6.6878685456613449E-2</v>
      </c>
      <c r="E52" s="69">
        <f t="shared" ref="E52:AE52" si="52">IFERROR(E51/E46,0)</f>
        <v>0.13767537239952535</v>
      </c>
      <c r="F52" s="69">
        <f t="shared" si="52"/>
        <v>0.14023268674265402</v>
      </c>
      <c r="G52" s="69">
        <f t="shared" si="52"/>
        <v>6.1203667508766192E-2</v>
      </c>
      <c r="H52" s="69">
        <f t="shared" si="52"/>
        <v>7.3767292707772797E-2</v>
      </c>
      <c r="I52" s="69">
        <f t="shared" si="52"/>
        <v>7.4816521798292596E-2</v>
      </c>
      <c r="J52" s="69">
        <f t="shared" si="52"/>
        <v>3.1150976941018767E-2</v>
      </c>
      <c r="K52" s="69">
        <f t="shared" si="52"/>
        <v>1.6122469642865879E-2</v>
      </c>
      <c r="L52" s="69">
        <f t="shared" si="52"/>
        <v>5.0375916393698324E-2</v>
      </c>
      <c r="M52" s="69">
        <f t="shared" si="52"/>
        <v>9.7764224425228224E-2</v>
      </c>
      <c r="N52" s="69">
        <f t="shared" si="52"/>
        <v>6.714615348617875E-2</v>
      </c>
      <c r="O52" s="69">
        <f t="shared" si="52"/>
        <v>2.7671063940493991E-2</v>
      </c>
      <c r="P52" s="69">
        <f t="shared" si="52"/>
        <v>2.7879605840840354E-2</v>
      </c>
      <c r="Q52" s="69">
        <f t="shared" si="52"/>
        <v>9.7723087818696909E-3</v>
      </c>
      <c r="R52" s="69">
        <f t="shared" si="52"/>
        <v>7.1780915287561045E-2</v>
      </c>
      <c r="S52" s="69">
        <f t="shared" si="52"/>
        <v>3.7505905551587337E-2</v>
      </c>
      <c r="T52" s="69">
        <f t="shared" si="52"/>
        <v>5.1098772692210762E-2</v>
      </c>
      <c r="U52" s="69">
        <f t="shared" si="52"/>
        <v>7.5840820211023563E-2</v>
      </c>
      <c r="V52" s="69">
        <f t="shared" si="52"/>
        <v>6.6577228550527751E-2</v>
      </c>
      <c r="W52" s="69">
        <f t="shared" si="52"/>
        <v>5.2048133108844208E-2</v>
      </c>
      <c r="X52" s="69">
        <f t="shared" si="52"/>
        <v>9.424051297107934E-2</v>
      </c>
      <c r="Y52" s="69">
        <f t="shared" si="52"/>
        <v>0.11301031511893822</v>
      </c>
      <c r="Z52" s="69">
        <f t="shared" si="52"/>
        <v>8.0898187513985226E-2</v>
      </c>
      <c r="AA52" s="69">
        <f t="shared" si="52"/>
        <v>-9.5193907008466663E-3</v>
      </c>
      <c r="AB52" s="69">
        <f t="shared" si="52"/>
        <v>1.2889293042969754E-2</v>
      </c>
      <c r="AC52" s="69">
        <f t="shared" si="52"/>
        <v>3.3394837759926611E-2</v>
      </c>
      <c r="AD52" s="69">
        <v>5.0387596899224806E-2</v>
      </c>
      <c r="AE52" s="69">
        <f t="shared" si="52"/>
        <v>4.3507257245651909E-2</v>
      </c>
      <c r="AF52" s="69">
        <f t="shared" ref="AF52:AH52" si="53">IFERROR(AF51/AF46,0)</f>
        <v>6.1564893003883146E-2</v>
      </c>
      <c r="AG52" s="69">
        <f t="shared" si="53"/>
        <v>0.12019154635982518</v>
      </c>
      <c r="AH52" s="69">
        <f t="shared" si="53"/>
        <v>0.11993708150026422</v>
      </c>
      <c r="AI52" s="69">
        <f t="shared" ref="AI52" si="54">IFERROR(AI51/AI46,0)</f>
        <v>9.4661468816558958E-2</v>
      </c>
      <c r="AK52" s="69">
        <f t="shared" ref="AK52" si="55">IFERROR(AK51/AK46,0)</f>
        <v>0.10256194752849287</v>
      </c>
      <c r="AL52" s="69">
        <f t="shared" ref="AL52" si="56">IFERROR(AL51/AL46,0)</f>
        <v>4.9526942568988375E-2</v>
      </c>
      <c r="AM52" s="69">
        <f t="shared" ref="AM52" si="57">IFERROR(AM51/AM46,0)</f>
        <v>6.0171515683939455E-2</v>
      </c>
      <c r="AN52" s="69">
        <f t="shared" ref="AN52" si="58">IFERROR(AN51/AN46,0)</f>
        <v>3.7297518576561904E-2</v>
      </c>
      <c r="AO52" s="69">
        <f t="shared" ref="AO52" si="59">IFERROR(AO51/AO46,0)</f>
        <v>6.1457999422501318E-2</v>
      </c>
      <c r="AP52" s="69">
        <f t="shared" ref="AP52" si="60">IFERROR(AP51/AP46,0)</f>
        <v>7.1287835731796492E-2</v>
      </c>
      <c r="AQ52" s="69">
        <f>IFERROR(AQ51/AQ46,0)</f>
        <v>3.5379920575829553E-2</v>
      </c>
      <c r="AR52" s="69">
        <f>IFERROR(AR51/AR46,0)</f>
        <v>9.9579316613651728E-2</v>
      </c>
    </row>
    <row r="53" spans="1:45" s="4" customFormat="1" ht="16.5">
      <c r="A53"/>
      <c r="B53" s="2"/>
      <c r="C53" s="2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K53" s="28"/>
      <c r="AL53" s="28"/>
      <c r="AM53" s="28"/>
      <c r="AN53" s="28"/>
      <c r="AO53" s="28"/>
      <c r="AP53" s="28"/>
      <c r="AQ53" s="28"/>
      <c r="AR53" s="28"/>
    </row>
    <row r="54" spans="1:45" s="4" customFormat="1" ht="16.5">
      <c r="A54"/>
      <c r="B54" s="57" t="s">
        <v>1</v>
      </c>
      <c r="C54" s="57" t="s">
        <v>1</v>
      </c>
      <c r="D54" s="56">
        <v>228.48699999999999</v>
      </c>
      <c r="E54" s="56">
        <v>448.863</v>
      </c>
      <c r="F54" s="56">
        <v>463.55700000000002</v>
      </c>
      <c r="G54" s="56">
        <v>241.00899999999999</v>
      </c>
      <c r="H54" s="56">
        <v>271.81599999999997</v>
      </c>
      <c r="I54" s="56">
        <v>282.51100000000002</v>
      </c>
      <c r="J54" s="56">
        <v>156.00399999999999</v>
      </c>
      <c r="K54" s="56">
        <v>111.041</v>
      </c>
      <c r="L54" s="56">
        <v>204.44</v>
      </c>
      <c r="M54" s="56">
        <v>349.3</v>
      </c>
      <c r="N54" s="56">
        <v>258.38099999999997</v>
      </c>
      <c r="O54" s="56">
        <v>161.619</v>
      </c>
      <c r="P54" s="56">
        <v>165.5</v>
      </c>
      <c r="Q54" s="56">
        <v>112.2</v>
      </c>
      <c r="R54" s="56">
        <v>305</v>
      </c>
      <c r="S54" s="56">
        <v>205.4</v>
      </c>
      <c r="T54" s="56">
        <v>253.8</v>
      </c>
      <c r="U54" s="56">
        <v>371.61399999999998</v>
      </c>
      <c r="V54" s="56">
        <v>346.9</v>
      </c>
      <c r="W54" s="56">
        <v>316.7</v>
      </c>
      <c r="X54" s="56">
        <v>501.75900000000001</v>
      </c>
      <c r="Y54" s="56">
        <v>623.27800000000002</v>
      </c>
      <c r="Z54" s="56">
        <v>460.5</v>
      </c>
      <c r="AA54" s="56">
        <v>62.857999999999997</v>
      </c>
      <c r="AB54" s="56">
        <v>151.94900000000001</v>
      </c>
      <c r="AC54" s="56">
        <v>248.72499999999999</v>
      </c>
      <c r="AD54" s="56">
        <v>324</v>
      </c>
      <c r="AE54" s="56">
        <v>309.5</v>
      </c>
      <c r="AF54" s="56">
        <v>371.892</v>
      </c>
      <c r="AG54" s="56">
        <v>655.93899999999996</v>
      </c>
      <c r="AH54" s="56">
        <v>660.37900000000002</v>
      </c>
      <c r="AI54" s="56">
        <v>525.72</v>
      </c>
      <c r="AK54" s="56">
        <f>SUM(D54:G54)</f>
        <v>1381.9160000000002</v>
      </c>
      <c r="AL54" s="56">
        <f>SUM(H54:K54)</f>
        <v>821.37200000000007</v>
      </c>
      <c r="AM54" s="56">
        <f>SUM(L54:O54)</f>
        <v>973.74</v>
      </c>
      <c r="AN54" s="56">
        <f>SUM(P54:S54)</f>
        <v>788.1</v>
      </c>
      <c r="AO54" s="56">
        <f>SUM(T54:W54)</f>
        <v>1289.0139999999999</v>
      </c>
      <c r="AP54" s="56">
        <f>SUM(X54:AA54)</f>
        <v>1648.395</v>
      </c>
      <c r="AQ54" s="56">
        <f>SUM(AB54:AE54)</f>
        <v>1034.174</v>
      </c>
      <c r="AR54" s="56">
        <f>SUM(AF54:AI54)</f>
        <v>2213.9300000000003</v>
      </c>
      <c r="AS54" s="28"/>
    </row>
    <row r="55" spans="1:45" s="4" customFormat="1" ht="16.5">
      <c r="A55"/>
      <c r="B55" s="57" t="s">
        <v>97</v>
      </c>
      <c r="C55" s="57" t="s">
        <v>237</v>
      </c>
      <c r="D55" s="69">
        <f t="shared" ref="D55:W55" si="61">D54/D46</f>
        <v>9.2156380327022502E-2</v>
      </c>
      <c r="E55" s="69">
        <f t="shared" si="61"/>
        <v>0.16308733903380682</v>
      </c>
      <c r="F55" s="69">
        <f t="shared" si="61"/>
        <v>0.16591842541836904</v>
      </c>
      <c r="G55" s="69">
        <f t="shared" si="61"/>
        <v>8.7884049895855826E-2</v>
      </c>
      <c r="H55" s="69">
        <f t="shared" si="61"/>
        <v>9.8961727585104617E-2</v>
      </c>
      <c r="I55" s="69">
        <f t="shared" si="61"/>
        <v>9.9590970253247341E-2</v>
      </c>
      <c r="J55" s="69">
        <f t="shared" si="61"/>
        <v>5.7830578543033001E-2</v>
      </c>
      <c r="K55" s="69">
        <f t="shared" si="61"/>
        <v>4.1795189606701921E-2</v>
      </c>
      <c r="L55" s="69">
        <f t="shared" si="61"/>
        <v>7.5032802077311972E-2</v>
      </c>
      <c r="M55" s="69">
        <f t="shared" si="61"/>
        <v>0.12285949945217958</v>
      </c>
      <c r="N55" s="69">
        <f t="shared" si="61"/>
        <v>9.3010723657922872E-2</v>
      </c>
      <c r="O55" s="69">
        <f t="shared" si="61"/>
        <v>5.275651389641027E-2</v>
      </c>
      <c r="P55" s="69">
        <f t="shared" si="61"/>
        <v>5.3822888549221112E-2</v>
      </c>
      <c r="Q55" s="69">
        <f t="shared" si="61"/>
        <v>3.973087818696884E-2</v>
      </c>
      <c r="R55" s="69">
        <f t="shared" si="61"/>
        <v>9.9183089055682683E-2</v>
      </c>
      <c r="S55" s="69">
        <f t="shared" si="61"/>
        <v>6.5879174258755044E-2</v>
      </c>
      <c r="T55" s="69">
        <f t="shared" si="61"/>
        <v>7.7533470294874632E-2</v>
      </c>
      <c r="U55" s="69">
        <f t="shared" si="61"/>
        <v>0.10215636372233208</v>
      </c>
      <c r="V55" s="69">
        <f t="shared" si="61"/>
        <v>9.0631204932594828E-2</v>
      </c>
      <c r="W55" s="69">
        <f t="shared" si="61"/>
        <v>7.841438050906209E-2</v>
      </c>
      <c r="X55" s="69">
        <v>0.11832836327747769</v>
      </c>
      <c r="Y55" s="69">
        <v>0.13456938005651553</v>
      </c>
      <c r="Z55" s="69">
        <v>0.1030431863951667</v>
      </c>
      <c r="AA55" s="69">
        <v>1.5229571409361663E-2</v>
      </c>
      <c r="AB55" s="69">
        <f>AB54/AB46</f>
        <v>3.6476852949903354E-2</v>
      </c>
      <c r="AC55" s="69">
        <v>5.7734388618996206E-2</v>
      </c>
      <c r="AD55" s="69">
        <v>7.430851795789184E-2</v>
      </c>
      <c r="AE55" s="69">
        <f>AE54/AE46</f>
        <v>6.8347914957968797E-2</v>
      </c>
      <c r="AF55" s="69">
        <f>AF54/AF46</f>
        <v>8.5258511476789881E-2</v>
      </c>
      <c r="AG55" s="69">
        <f>AG54/AG46</f>
        <v>0.14386791521706993</v>
      </c>
      <c r="AH55" s="69">
        <f>AH54/AH46</f>
        <v>0.14403097593249609</v>
      </c>
      <c r="AI55" s="69">
        <f>AI54/AI46</f>
        <v>0.12024526630900188</v>
      </c>
      <c r="AK55" s="69">
        <f t="shared" ref="AK55:AP55" si="62">IFERROR(AK54/AK46,0)</f>
        <v>0.12833707115330126</v>
      </c>
      <c r="AL55" s="69">
        <f t="shared" si="62"/>
        <v>7.5094918678225875E-2</v>
      </c>
      <c r="AM55" s="69">
        <f t="shared" si="62"/>
        <v>8.5346770887647971E-2</v>
      </c>
      <c r="AN55" s="69">
        <f t="shared" si="62"/>
        <v>6.5176131030404774E-2</v>
      </c>
      <c r="AO55" s="69">
        <f t="shared" si="62"/>
        <v>8.7228015141644494E-2</v>
      </c>
      <c r="AP55" s="69">
        <f t="shared" si="62"/>
        <v>9.4364351920335252E-2</v>
      </c>
      <c r="AQ55" s="69">
        <f>IFERROR(AQ54/AQ46,0)</f>
        <v>5.9564614458023538E-2</v>
      </c>
      <c r="AR55" s="69">
        <f>IFERROR(AR54/AR46,0)</f>
        <v>0.12383342457061475</v>
      </c>
    </row>
    <row r="56" spans="1:45" s="4" customFormat="1" ht="16.5">
      <c r="A56"/>
    </row>
    <row r="57" spans="1:45" s="4" customFormat="1" ht="14.45" customHeight="1">
      <c r="A57"/>
      <c r="B57" s="159" t="s">
        <v>194</v>
      </c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K57" s="74"/>
      <c r="AL57" s="74"/>
      <c r="AM57" s="74"/>
      <c r="AN57" s="74"/>
      <c r="AO57" s="74"/>
      <c r="AP57" s="74"/>
      <c r="AQ57" s="74"/>
      <c r="AR57" s="74"/>
    </row>
    <row r="58" spans="1:45" s="4" customFormat="1" ht="14.45" customHeight="1">
      <c r="A58"/>
      <c r="B58" s="159"/>
      <c r="C58" s="159"/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K58" s="74"/>
      <c r="AL58" s="74"/>
      <c r="AM58" s="74"/>
      <c r="AN58" s="74"/>
      <c r="AO58" s="74"/>
      <c r="AP58" s="74"/>
      <c r="AQ58" s="74"/>
      <c r="AR58" s="74"/>
    </row>
    <row r="59" spans="1:45" s="4" customFormat="1" ht="14.45" customHeight="1">
      <c r="A59"/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K59" s="74"/>
      <c r="AL59" s="74"/>
      <c r="AM59" s="74"/>
      <c r="AN59" s="74"/>
      <c r="AO59" s="74"/>
      <c r="AP59" s="74"/>
      <c r="AQ59" s="74"/>
      <c r="AR59" s="74"/>
    </row>
    <row r="60" spans="1:45" s="4" customFormat="1" ht="14.45" customHeight="1">
      <c r="A60"/>
      <c r="B60" s="159"/>
      <c r="C60" s="159"/>
      <c r="D60" s="159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K60" s="74"/>
      <c r="AL60" s="74"/>
      <c r="AM60" s="74"/>
      <c r="AN60" s="74"/>
      <c r="AO60" s="74"/>
      <c r="AP60" s="74"/>
      <c r="AQ60" s="74"/>
      <c r="AR60" s="74"/>
    </row>
    <row r="62" spans="1:45" s="4" customFormat="1" ht="16.5">
      <c r="A62"/>
      <c r="B62" s="6" t="s">
        <v>7</v>
      </c>
      <c r="C62" s="6" t="s">
        <v>7</v>
      </c>
      <c r="D62" s="7" t="s">
        <v>20</v>
      </c>
      <c r="E62" s="8" t="s">
        <v>21</v>
      </c>
      <c r="F62" s="7" t="s">
        <v>22</v>
      </c>
      <c r="G62" s="7" t="s">
        <v>23</v>
      </c>
      <c r="H62" s="7" t="s">
        <v>24</v>
      </c>
      <c r="I62" s="8" t="s">
        <v>25</v>
      </c>
      <c r="J62" s="8" t="s">
        <v>26</v>
      </c>
      <c r="K62" s="8" t="s">
        <v>27</v>
      </c>
      <c r="L62" s="8" t="s">
        <v>28</v>
      </c>
      <c r="M62" s="8" t="s">
        <v>29</v>
      </c>
      <c r="N62" s="8" t="s">
        <v>30</v>
      </c>
      <c r="O62" s="8" t="s">
        <v>31</v>
      </c>
      <c r="P62" s="8" t="s">
        <v>32</v>
      </c>
      <c r="Q62" s="8" t="s">
        <v>33</v>
      </c>
      <c r="R62" s="8" t="s">
        <v>34</v>
      </c>
      <c r="S62" s="17" t="s">
        <v>35</v>
      </c>
      <c r="T62" s="17" t="s">
        <v>36</v>
      </c>
      <c r="U62" s="17" t="s">
        <v>183</v>
      </c>
      <c r="V62" s="17" t="s">
        <v>187</v>
      </c>
      <c r="W62" s="17" t="s">
        <v>188</v>
      </c>
      <c r="AK62" s="17" t="str">
        <f>AK44</f>
        <v>2017</v>
      </c>
      <c r="AL62" s="17" t="str">
        <f>AL44</f>
        <v>2018</v>
      </c>
      <c r="AM62" s="17" t="str">
        <f>AM44</f>
        <v>2019</v>
      </c>
      <c r="AN62" s="17" t="str">
        <f>AN44</f>
        <v>2020</v>
      </c>
      <c r="AO62" s="17" t="str">
        <f>AO44</f>
        <v>2021</v>
      </c>
      <c r="AP62"/>
      <c r="AQ62"/>
      <c r="AR62"/>
    </row>
    <row r="63" spans="1:45" s="4" customFormat="1" ht="16.5">
      <c r="A63"/>
      <c r="AP63"/>
      <c r="AQ63"/>
      <c r="AR63"/>
    </row>
    <row r="64" spans="1:45" s="4" customFormat="1" ht="16.5">
      <c r="A64"/>
      <c r="B64" s="57" t="s">
        <v>78</v>
      </c>
      <c r="C64" s="57" t="s">
        <v>239</v>
      </c>
      <c r="D64" s="60">
        <v>4919.6000000000004</v>
      </c>
      <c r="E64" s="60">
        <v>5525.6709928344035</v>
      </c>
      <c r="F64" s="60">
        <v>5533.6973287647852</v>
      </c>
      <c r="G64" s="60">
        <v>5684.6</v>
      </c>
      <c r="H64" s="60">
        <v>5060.2</v>
      </c>
      <c r="I64" s="60">
        <v>5597.4650000000001</v>
      </c>
      <c r="J64" s="60">
        <v>5419.3249999999998</v>
      </c>
      <c r="K64" s="60">
        <v>5405.817</v>
      </c>
      <c r="L64" s="60">
        <v>5008.8</v>
      </c>
      <c r="M64" s="60">
        <v>5637.9</v>
      </c>
      <c r="N64" s="60">
        <v>5625.4</v>
      </c>
      <c r="O64" s="60">
        <v>5797.3</v>
      </c>
      <c r="P64" s="60">
        <v>5162</v>
      </c>
      <c r="Q64" s="60">
        <v>5579</v>
      </c>
      <c r="R64" s="60">
        <v>5345</v>
      </c>
      <c r="S64" s="60">
        <v>5612.4</v>
      </c>
      <c r="T64" s="60">
        <v>5558.1</v>
      </c>
      <c r="U64" s="60">
        <v>6744.2</v>
      </c>
      <c r="V64" s="60">
        <v>7379.1</v>
      </c>
      <c r="W64" s="60">
        <v>7500.7</v>
      </c>
      <c r="AK64" s="60">
        <f>SUM(D64:G64)</f>
        <v>21663.568321599188</v>
      </c>
      <c r="AL64" s="60">
        <f>SUM(H64:K64)</f>
        <v>21482.807000000001</v>
      </c>
      <c r="AM64" s="60">
        <f>SUM(L64:O64)</f>
        <v>22069.4</v>
      </c>
      <c r="AN64" s="60">
        <f>SUM(P64:S64)</f>
        <v>21698.400000000001</v>
      </c>
      <c r="AO64" s="60">
        <f>SUM(T64:W64)</f>
        <v>27182.100000000002</v>
      </c>
      <c r="AP64"/>
      <c r="AQ64"/>
      <c r="AR64"/>
    </row>
    <row r="65" spans="1:44" s="9" customFormat="1" ht="16.5">
      <c r="A65"/>
      <c r="B65" s="9" t="s">
        <v>168</v>
      </c>
      <c r="C65" s="9" t="s">
        <v>240</v>
      </c>
      <c r="D65" s="10">
        <v>-4725.7</v>
      </c>
      <c r="E65" s="10">
        <v>-5189.6000000000004</v>
      </c>
      <c r="F65" s="10">
        <v>-5103.7629999999999</v>
      </c>
      <c r="G65" s="10">
        <v>-5262.8</v>
      </c>
      <c r="H65" s="10">
        <v>-4740.3999999999996</v>
      </c>
      <c r="I65" s="10">
        <v>-5006.8999999999996</v>
      </c>
      <c r="J65" s="10">
        <v>-4937.7</v>
      </c>
      <c r="K65" s="10">
        <v>-4964.3</v>
      </c>
      <c r="L65" s="10">
        <v>-4721.1000000000004</v>
      </c>
      <c r="M65" s="10">
        <v>-5114.2</v>
      </c>
      <c r="N65" s="10">
        <v>-4960.3999999999996</v>
      </c>
      <c r="O65" s="10">
        <v>-5173.7</v>
      </c>
      <c r="P65" s="10">
        <v>-4849.8</v>
      </c>
      <c r="Q65" s="10">
        <v>-4372.3</v>
      </c>
      <c r="R65" s="10">
        <v>-4813.8</v>
      </c>
      <c r="S65" s="10">
        <v>-5054.8999999999996</v>
      </c>
      <c r="T65" s="10">
        <v>-4964.5</v>
      </c>
      <c r="U65" s="10">
        <v>-5259.8</v>
      </c>
      <c r="V65" s="10">
        <v>-5663.4</v>
      </c>
      <c r="W65" s="10">
        <v>-6086</v>
      </c>
      <c r="AK65" s="10">
        <f>SUM(D65:G65)</f>
        <v>-20281.862999999998</v>
      </c>
      <c r="AL65" s="10">
        <f>SUM(H65:K65)</f>
        <v>-19649.3</v>
      </c>
      <c r="AM65" s="10">
        <f>SUM(L65:O65)</f>
        <v>-19969.399999999998</v>
      </c>
      <c r="AN65" s="10">
        <f>SUM(P65:S65)</f>
        <v>-19090.800000000003</v>
      </c>
      <c r="AO65" s="10">
        <f>SUM(T65:W65)</f>
        <v>-21973.699999999997</v>
      </c>
      <c r="AP65"/>
      <c r="AQ65"/>
      <c r="AR65"/>
    </row>
    <row r="66" spans="1:44" s="4" customFormat="1" ht="16.5">
      <c r="A66"/>
      <c r="B66" s="57" t="s">
        <v>80</v>
      </c>
      <c r="C66" s="57" t="s">
        <v>241</v>
      </c>
      <c r="D66" s="56">
        <f>D64+D65</f>
        <v>193.90000000000055</v>
      </c>
      <c r="E66" s="56">
        <f t="shared" ref="E66:S66" si="63">E64+E65</f>
        <v>336.07099283440311</v>
      </c>
      <c r="F66" s="56">
        <f t="shared" si="63"/>
        <v>429.93432876478528</v>
      </c>
      <c r="G66" s="56">
        <f t="shared" si="63"/>
        <v>421.80000000000018</v>
      </c>
      <c r="H66" s="56">
        <f t="shared" si="63"/>
        <v>319.80000000000018</v>
      </c>
      <c r="I66" s="56">
        <f t="shared" si="63"/>
        <v>590.56500000000051</v>
      </c>
      <c r="J66" s="56">
        <f t="shared" si="63"/>
        <v>481.625</v>
      </c>
      <c r="K66" s="56">
        <f t="shared" si="63"/>
        <v>441.51699999999983</v>
      </c>
      <c r="L66" s="56">
        <f t="shared" si="63"/>
        <v>287.69999999999982</v>
      </c>
      <c r="M66" s="56">
        <f t="shared" si="63"/>
        <v>523.69999999999982</v>
      </c>
      <c r="N66" s="56">
        <f t="shared" si="63"/>
        <v>665</v>
      </c>
      <c r="O66" s="56">
        <f t="shared" si="63"/>
        <v>623.60000000000036</v>
      </c>
      <c r="P66" s="56">
        <f t="shared" si="63"/>
        <v>312.19999999999982</v>
      </c>
      <c r="Q66" s="56">
        <f t="shared" si="63"/>
        <v>1206.6999999999998</v>
      </c>
      <c r="R66" s="56">
        <f t="shared" si="63"/>
        <v>531.19999999999982</v>
      </c>
      <c r="S66" s="56">
        <f t="shared" si="63"/>
        <v>557.5</v>
      </c>
      <c r="T66" s="56">
        <v>593.60000000000036</v>
      </c>
      <c r="U66" s="56">
        <v>1484.3999999999996</v>
      </c>
      <c r="V66" s="56">
        <v>1715.7</v>
      </c>
      <c r="W66" s="56">
        <v>1414.6999999999998</v>
      </c>
      <c r="AK66" s="56">
        <f>SUM(AK64:AK65)</f>
        <v>1381.7053215991909</v>
      </c>
      <c r="AL66" s="56">
        <f t="shared" ref="AL66" si="64">SUM(AL64:AL65)</f>
        <v>1833.5070000000014</v>
      </c>
      <c r="AM66" s="56">
        <f t="shared" ref="AM66" si="65">SUM(AM64:AM65)</f>
        <v>2100.0000000000036</v>
      </c>
      <c r="AN66" s="56">
        <f t="shared" ref="AN66" si="66">SUM(AN64:AN65)</f>
        <v>2607.5999999999985</v>
      </c>
      <c r="AO66" s="56">
        <f t="shared" ref="AO66" si="67">SUM(AO64:AO65)</f>
        <v>5208.4000000000051</v>
      </c>
      <c r="AP66"/>
      <c r="AQ66"/>
      <c r="AR66"/>
    </row>
    <row r="67" spans="1:44" s="4" customFormat="1" ht="16.5">
      <c r="A67"/>
      <c r="B67" s="57" t="s">
        <v>169</v>
      </c>
      <c r="C67" s="57" t="s">
        <v>290</v>
      </c>
      <c r="D67" s="69">
        <f>D66/D64</f>
        <v>3.9413773477518607E-2</v>
      </c>
      <c r="E67" s="69">
        <f>E66/E64</f>
        <v>6.0819942640489143E-2</v>
      </c>
      <c r="F67" s="69">
        <f>F66/F64</f>
        <v>7.7693864196355295E-2</v>
      </c>
      <c r="G67" s="69">
        <f>G66/G64</f>
        <v>7.4200471449178504E-2</v>
      </c>
      <c r="H67" s="69">
        <f>H66/H64</f>
        <v>6.3199083040196072E-2</v>
      </c>
      <c r="I67" s="69">
        <f t="shared" ref="I67:W67" si="68">I66/I64</f>
        <v>0.10550579592726358</v>
      </c>
      <c r="J67" s="69">
        <f t="shared" si="68"/>
        <v>8.8871769085633365E-2</v>
      </c>
      <c r="K67" s="69">
        <f t="shared" si="68"/>
        <v>8.1674425900839745E-2</v>
      </c>
      <c r="L67" s="69">
        <f t="shared" si="68"/>
        <v>5.7438907522759902E-2</v>
      </c>
      <c r="M67" s="69">
        <f t="shared" si="68"/>
        <v>9.2889196331967544E-2</v>
      </c>
      <c r="N67" s="69">
        <f t="shared" si="68"/>
        <v>0.11821381590642444</v>
      </c>
      <c r="O67" s="69">
        <f t="shared" si="68"/>
        <v>0.10756731581943324</v>
      </c>
      <c r="P67" s="69">
        <f t="shared" si="68"/>
        <v>6.0480433940333166E-2</v>
      </c>
      <c r="Q67" s="69">
        <f t="shared" si="68"/>
        <v>0.21629324251658</v>
      </c>
      <c r="R67" s="69">
        <f t="shared" si="68"/>
        <v>9.9382600561272183E-2</v>
      </c>
      <c r="S67" s="69">
        <f t="shared" si="68"/>
        <v>9.9333618416363775E-2</v>
      </c>
      <c r="T67" s="69">
        <f t="shared" si="68"/>
        <v>0.10679908601860354</v>
      </c>
      <c r="U67" s="69">
        <f t="shared" si="68"/>
        <v>0.22010023427537731</v>
      </c>
      <c r="V67" s="69">
        <f t="shared" si="68"/>
        <v>0.23250802943448387</v>
      </c>
      <c r="W67" s="69">
        <f t="shared" si="68"/>
        <v>0.18860906315410561</v>
      </c>
      <c r="AK67" s="69">
        <f>IFERROR(AK66/AK64,0)</f>
        <v>6.3780135436948854E-2</v>
      </c>
      <c r="AL67" s="69">
        <f t="shared" ref="AL67" si="69">IFERROR(AL66/AL64,0)</f>
        <v>8.534764567777392E-2</v>
      </c>
      <c r="AM67" s="69">
        <f t="shared" ref="AM67" si="70">IFERROR(AM66/AM64,0)</f>
        <v>9.5154376648209901E-2</v>
      </c>
      <c r="AN67" s="69">
        <f t="shared" ref="AN67" si="71">IFERROR(AN66/AN64,0)</f>
        <v>0.1201747594292666</v>
      </c>
      <c r="AO67" s="69">
        <f t="shared" ref="AO67" si="72">IFERROR(AO66/AO64,0)</f>
        <v>0.19161139132002328</v>
      </c>
      <c r="AP67"/>
      <c r="AQ67"/>
      <c r="AR67"/>
    </row>
    <row r="68" spans="1:44" s="4" customFormat="1" ht="16.5">
      <c r="A68"/>
      <c r="B68" s="2"/>
      <c r="C68" s="2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AK68" s="28"/>
      <c r="AL68" s="28"/>
      <c r="AM68" s="28"/>
      <c r="AN68" s="28"/>
      <c r="AO68" s="28"/>
      <c r="AP68"/>
      <c r="AQ68"/>
      <c r="AR68"/>
    </row>
    <row r="69" spans="1:44" s="4" customFormat="1" ht="16.5">
      <c r="A69"/>
      <c r="B69" s="57" t="s">
        <v>1</v>
      </c>
      <c r="C69" s="57" t="s">
        <v>1</v>
      </c>
      <c r="D69" s="56">
        <v>183.4</v>
      </c>
      <c r="E69" s="56">
        <v>324.2</v>
      </c>
      <c r="F69" s="56">
        <v>405.08499999999998</v>
      </c>
      <c r="G69" s="56">
        <v>395.9</v>
      </c>
      <c r="H69" s="56">
        <v>308.2</v>
      </c>
      <c r="I69" s="56">
        <v>570.1</v>
      </c>
      <c r="J69" s="56">
        <v>446.7</v>
      </c>
      <c r="K69" s="56">
        <v>393.7</v>
      </c>
      <c r="L69" s="56">
        <v>251.4</v>
      </c>
      <c r="M69" s="56">
        <v>503.1</v>
      </c>
      <c r="N69" s="56">
        <v>610.4</v>
      </c>
      <c r="O69" s="56">
        <v>580.29999999999995</v>
      </c>
      <c r="P69" s="56">
        <v>244.2</v>
      </c>
      <c r="Q69" s="56">
        <v>1135.4000000000001</v>
      </c>
      <c r="R69" s="56">
        <v>502.9</v>
      </c>
      <c r="S69" s="56">
        <v>503.4</v>
      </c>
      <c r="T69" s="56">
        <v>531.9</v>
      </c>
      <c r="U69" s="56">
        <v>1397.2</v>
      </c>
      <c r="V69" s="56">
        <v>1613.9</v>
      </c>
      <c r="W69" s="56">
        <v>1344.5</v>
      </c>
      <c r="AK69" s="56">
        <f>SUM(D69:G69)</f>
        <v>1308.585</v>
      </c>
      <c r="AL69" s="56">
        <f>SUM(H69:K69)</f>
        <v>1718.7</v>
      </c>
      <c r="AM69" s="56">
        <f>SUM(L69:O69)</f>
        <v>1945.2</v>
      </c>
      <c r="AN69" s="56">
        <f>SUM(P69:S69)</f>
        <v>2385.9</v>
      </c>
      <c r="AO69" s="56">
        <f>SUM(T69:W69)</f>
        <v>4887.5</v>
      </c>
      <c r="AP69"/>
      <c r="AQ69"/>
      <c r="AR69"/>
    </row>
    <row r="70" spans="1:44" s="4" customFormat="1" ht="16.5">
      <c r="A70"/>
      <c r="B70" s="57" t="s">
        <v>97</v>
      </c>
      <c r="C70" s="57" t="s">
        <v>237</v>
      </c>
      <c r="D70" s="69">
        <f>D69/D64</f>
        <v>3.7279453614114964E-2</v>
      </c>
      <c r="E70" s="69">
        <f t="shared" ref="E70:Q70" si="73">E69/E64</f>
        <v>5.8671607560496643E-2</v>
      </c>
      <c r="F70" s="69">
        <f t="shared" si="73"/>
        <v>7.3203317047053199E-2</v>
      </c>
      <c r="G70" s="69">
        <f t="shared" si="73"/>
        <v>6.964430214966752E-2</v>
      </c>
      <c r="H70" s="69">
        <f t="shared" si="73"/>
        <v>6.0906683530295248E-2</v>
      </c>
      <c r="I70" s="69">
        <f t="shared" si="73"/>
        <v>0.10184967659467277</v>
      </c>
      <c r="J70" s="69">
        <f t="shared" si="73"/>
        <v>8.2427239554741599E-2</v>
      </c>
      <c r="K70" s="69">
        <f t="shared" si="73"/>
        <v>7.2828954439264224E-2</v>
      </c>
      <c r="L70" s="69">
        <f t="shared" si="73"/>
        <v>5.01916626736943E-2</v>
      </c>
      <c r="M70" s="69">
        <f t="shared" si="73"/>
        <v>8.923535358910234E-2</v>
      </c>
      <c r="N70" s="69">
        <f t="shared" si="73"/>
        <v>0.10850783944252854</v>
      </c>
      <c r="O70" s="69">
        <f t="shared" si="73"/>
        <v>0.10009832163248408</v>
      </c>
      <c r="P70" s="69">
        <f t="shared" si="73"/>
        <v>4.7307245253777601E-2</v>
      </c>
      <c r="Q70" s="69">
        <f t="shared" si="73"/>
        <v>0.20351317440401506</v>
      </c>
      <c r="R70" s="69">
        <f>R69/R64</f>
        <v>9.4087932647333949E-2</v>
      </c>
      <c r="S70" s="69">
        <f t="shared" ref="S70:W70" si="74">S69/S64</f>
        <v>8.9694248449861028E-2</v>
      </c>
      <c r="T70" s="69">
        <f t="shared" si="74"/>
        <v>9.5698170238030969E-2</v>
      </c>
      <c r="U70" s="69">
        <f t="shared" si="74"/>
        <v>0.20717060585391894</v>
      </c>
      <c r="V70" s="69">
        <f t="shared" si="74"/>
        <v>0.21871230908918432</v>
      </c>
      <c r="W70" s="69">
        <f t="shared" si="74"/>
        <v>0.17924993667257724</v>
      </c>
      <c r="AK70" s="69">
        <f t="shared" ref="AK70" si="75">IFERROR(AK69/AK64,0)</f>
        <v>6.0404868698168433E-2</v>
      </c>
      <c r="AL70" s="69">
        <f t="shared" ref="AL70" si="76">IFERROR(AL69/AL64,0)</f>
        <v>8.0003511645382275E-2</v>
      </c>
      <c r="AM70" s="69">
        <f t="shared" ref="AM70" si="77">IFERROR(AM69/AM64,0)</f>
        <v>8.8140139740998852E-2</v>
      </c>
      <c r="AN70" s="69">
        <f t="shared" ref="AN70" si="78">IFERROR(AN69/AN64,0)</f>
        <v>0.10995741621502046</v>
      </c>
      <c r="AO70" s="69">
        <f t="shared" ref="AO70" si="79">IFERROR(AO69/AO64,0)</f>
        <v>0.17980582810010998</v>
      </c>
      <c r="AP70"/>
      <c r="AQ70"/>
      <c r="AR70"/>
    </row>
  </sheetData>
  <mergeCells count="1">
    <mergeCell ref="B57:X60"/>
  </mergeCells>
  <pageMargins left="0.511811024" right="0.511811024" top="0.78740157499999996" bottom="0.78740157499999996" header="0.31496062000000002" footer="0.31496062000000002"/>
  <pageSetup paperSize="9" scale="18" orientation="portrait" r:id="rId1"/>
  <ignoredErrors>
    <ignoredError sqref="AK6:AO6 AK22:AN22 AK23:AO23 AK40:AO49 AK27:AO36 AL9:AO9 AO10 AL7:AO7 AK8:AO8 AK14:AO21 AK53:AO69 B7:AK7 B70:AR70 B53:AJ69 AP53:AR69 B22:AJ22 B14:AJ21 AP14:AR21 B9:AK9 B8:AJ8 AP8:AR8 AP7:AR7 C11:AR11 B10:AN10 AP10:AR10 AP9:AR9 B37:AR37 B27:AJ36 AP27:AR36 B50:AR50 B40:AJ49 AP40:AR49 B24:AR24 B23:AJ23 AP23:AR23 AO22:AR22 C12:AR13 C25:AR26 C38:AR39 C51:AR52" formulaRange="1"/>
    <ignoredError sqref="AK5:AO5" numberStoredAsText="1" formulaRange="1"/>
    <ignoredError sqref="AP5" numberStoredAsText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>
    <tabColor rgb="FF0070C0"/>
    <pageSetUpPr fitToPage="1"/>
  </sheetPr>
  <dimension ref="A1:AI24"/>
  <sheetViews>
    <sheetView showGridLines="0" zoomScale="90" zoomScaleNormal="90" workbookViewId="0">
      <pane xSplit="3" ySplit="4" topLeftCell="Y5" activePane="bottomRight" state="frozen"/>
      <selection pane="topRight" activeCell="D1" sqref="D1"/>
      <selection pane="bottomLeft" activeCell="A7" sqref="A7"/>
      <selection pane="bottomRight"/>
    </sheetView>
  </sheetViews>
  <sheetFormatPr defaultColWidth="8.85546875" defaultRowHeight="15" outlineLevelCol="1"/>
  <cols>
    <col min="1" max="1" width="0.85546875" customWidth="1"/>
    <col min="2" max="2" width="50.5703125" customWidth="1" outlineLevel="1"/>
    <col min="3" max="3" width="50.5703125" customWidth="1"/>
    <col min="4" max="4" width="14.140625" style="40" hidden="1" customWidth="1" outlineLevel="1"/>
    <col min="5" max="20" width="14.140625" hidden="1" customWidth="1" outlineLevel="1"/>
    <col min="21" max="23" width="14.140625" hidden="1" customWidth="1" outlineLevel="1" collapsed="1"/>
    <col min="24" max="28" width="14.140625" customWidth="1" collapsed="1"/>
    <col min="29" max="30" width="14.140625" customWidth="1"/>
    <col min="31" max="35" width="14.140625" customWidth="1" collapsed="1"/>
    <col min="36" max="91" width="14.140625" customWidth="1"/>
  </cols>
  <sheetData>
    <row r="1" spans="1:35" ht="1.5" customHeight="1">
      <c r="D1"/>
    </row>
    <row r="2" spans="1:35" ht="60" customHeight="1"/>
    <row r="3" spans="1:35" ht="3" customHeight="1"/>
    <row r="4" spans="1:35" s="4" customFormat="1" ht="16.5">
      <c r="A4"/>
      <c r="B4" s="2" t="s">
        <v>171</v>
      </c>
      <c r="C4" s="2" t="s">
        <v>289</v>
      </c>
      <c r="D4" s="38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s="4" customFormat="1" ht="16.5">
      <c r="A5"/>
      <c r="B5" s="6" t="s">
        <v>174</v>
      </c>
      <c r="C5" s="6" t="s">
        <v>294</v>
      </c>
      <c r="D5" s="7" t="s">
        <v>20</v>
      </c>
      <c r="E5" s="8" t="s">
        <v>21</v>
      </c>
      <c r="F5" s="7" t="s">
        <v>22</v>
      </c>
      <c r="G5" s="7" t="s">
        <v>23</v>
      </c>
      <c r="H5" s="7" t="s">
        <v>24</v>
      </c>
      <c r="I5" s="8" t="s">
        <v>25</v>
      </c>
      <c r="J5" s="8" t="s">
        <v>26</v>
      </c>
      <c r="K5" s="8" t="s">
        <v>27</v>
      </c>
      <c r="L5" s="8" t="s">
        <v>28</v>
      </c>
      <c r="M5" s="8" t="s">
        <v>29</v>
      </c>
      <c r="N5" s="8" t="s">
        <v>30</v>
      </c>
      <c r="O5" s="8" t="s">
        <v>31</v>
      </c>
      <c r="P5" s="8" t="s">
        <v>32</v>
      </c>
      <c r="Q5" s="8" t="s">
        <v>33</v>
      </c>
      <c r="R5" s="8" t="s">
        <v>34</v>
      </c>
      <c r="S5" s="17" t="s">
        <v>35</v>
      </c>
      <c r="T5" s="17" t="s">
        <v>36</v>
      </c>
      <c r="U5" s="17" t="s">
        <v>183</v>
      </c>
      <c r="V5" s="17" t="s">
        <v>187</v>
      </c>
      <c r="W5" s="17" t="s">
        <v>188</v>
      </c>
      <c r="X5" s="17" t="s">
        <v>189</v>
      </c>
      <c r="Y5" s="17" t="s">
        <v>302</v>
      </c>
      <c r="Z5" s="17" t="s">
        <v>354</v>
      </c>
      <c r="AA5" s="17" t="s">
        <v>355</v>
      </c>
      <c r="AB5" s="17" t="s">
        <v>393</v>
      </c>
      <c r="AC5" s="17" t="s">
        <v>398</v>
      </c>
      <c r="AD5" s="17" t="s">
        <v>428</v>
      </c>
      <c r="AE5" s="17" t="s">
        <v>435</v>
      </c>
      <c r="AF5" s="17" t="s">
        <v>438</v>
      </c>
      <c r="AG5" s="17" t="s">
        <v>439</v>
      </c>
      <c r="AH5" s="17" t="s">
        <v>442</v>
      </c>
      <c r="AI5" s="17" t="s">
        <v>443</v>
      </c>
    </row>
    <row r="6" spans="1:35" ht="16.5">
      <c r="B6" s="12"/>
      <c r="C6" s="12"/>
      <c r="D6" s="25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s="9" customFormat="1" ht="16.5">
      <c r="A7"/>
      <c r="B7" s="9" t="s">
        <v>175</v>
      </c>
      <c r="C7" s="9" t="s">
        <v>295</v>
      </c>
      <c r="D7" s="46">
        <v>17872.940999999999</v>
      </c>
      <c r="E7" s="10">
        <v>18252.842000000001</v>
      </c>
      <c r="F7" s="10">
        <v>16384.3</v>
      </c>
      <c r="G7" s="10">
        <v>13526.050999999999</v>
      </c>
      <c r="H7" s="10">
        <v>13032.984</v>
      </c>
      <c r="I7" s="10">
        <v>4244.5730000000003</v>
      </c>
      <c r="J7" s="10">
        <v>2946.9229999999998</v>
      </c>
      <c r="K7" s="10">
        <v>2922.6350000000002</v>
      </c>
      <c r="L7" s="10">
        <v>3109.2</v>
      </c>
      <c r="M7" s="10">
        <v>3020.9206249587901</v>
      </c>
      <c r="N7" s="10">
        <v>2152.337</v>
      </c>
      <c r="O7" s="10">
        <v>2078.8989999999999</v>
      </c>
      <c r="P7" s="10">
        <v>4294.1149999999998</v>
      </c>
      <c r="Q7" s="10">
        <v>4917.3900000000003</v>
      </c>
      <c r="R7" s="10">
        <v>4951.1530000000002</v>
      </c>
      <c r="S7" s="10">
        <v>4562.1009999999997</v>
      </c>
      <c r="T7" s="10">
        <v>6308.3410000000003</v>
      </c>
      <c r="U7" s="10">
        <v>7449.0590000000002</v>
      </c>
      <c r="V7" s="10">
        <v>10201.35</v>
      </c>
      <c r="W7" s="10">
        <v>11914.284</v>
      </c>
      <c r="X7" s="10">
        <v>11020.829</v>
      </c>
      <c r="Y7" s="10">
        <v>12711.253000000001</v>
      </c>
      <c r="Z7" s="10">
        <v>10889.555</v>
      </c>
      <c r="AA7" s="10">
        <f>'Liabilitites - Passivo'!AA8</f>
        <v>8228.5570000000007</v>
      </c>
      <c r="AB7" s="10">
        <v>10034.455</v>
      </c>
      <c r="AC7" s="10">
        <v>10685.579633255469</v>
      </c>
      <c r="AD7" s="10">
        <v>9239.3042791379339</v>
      </c>
      <c r="AE7" s="10">
        <v>4316.3595297010879</v>
      </c>
      <c r="AF7" s="10">
        <f>+'Liabilitites - Passivo'!AF8</f>
        <v>3814.3310590330684</v>
      </c>
      <c r="AG7" s="10">
        <f>+'Liabilitites - Passivo'!AG8</f>
        <v>4868.2797679716896</v>
      </c>
      <c r="AH7" s="10">
        <v>10121.300250104001</v>
      </c>
      <c r="AI7" s="10">
        <f>+'Liabilitites - Passivo'!AI8</f>
        <v>12906.1491583065</v>
      </c>
    </row>
    <row r="8" spans="1:35" s="9" customFormat="1" ht="16.5">
      <c r="A8"/>
      <c r="B8" s="9" t="s">
        <v>176</v>
      </c>
      <c r="C8" s="9" t="s">
        <v>296</v>
      </c>
      <c r="D8" s="46">
        <v>40677.35</v>
      </c>
      <c r="E8" s="10">
        <v>43423.239000000001</v>
      </c>
      <c r="F8" s="10">
        <v>43251.987000000001</v>
      </c>
      <c r="G8" s="10">
        <v>43498.6</v>
      </c>
      <c r="H8" s="10">
        <v>43303.902999999998</v>
      </c>
      <c r="I8" s="10">
        <v>59317.531000000003</v>
      </c>
      <c r="J8" s="10">
        <v>58688.813000000002</v>
      </c>
      <c r="K8" s="10">
        <v>53230.892999999996</v>
      </c>
      <c r="L8" s="10">
        <v>53037.574999999997</v>
      </c>
      <c r="M8" s="10">
        <v>48043.087362681799</v>
      </c>
      <c r="N8" s="10">
        <v>50760.889000000003</v>
      </c>
      <c r="O8" s="10">
        <v>50949.144</v>
      </c>
      <c r="P8" s="10">
        <v>71142.513000000006</v>
      </c>
      <c r="Q8" s="10">
        <v>72275.331000000006</v>
      </c>
      <c r="R8" s="10">
        <v>68846.716</v>
      </c>
      <c r="S8" s="10">
        <v>61344.603999999999</v>
      </c>
      <c r="T8" s="10">
        <v>61123.277999999998</v>
      </c>
      <c r="U8" s="10">
        <v>63583.724000000002</v>
      </c>
      <c r="V8" s="10">
        <v>74158.917000000001</v>
      </c>
      <c r="W8" s="10">
        <v>80603.87</v>
      </c>
      <c r="X8" s="10">
        <v>72749.418000000005</v>
      </c>
      <c r="Y8" s="10">
        <v>84704.278000000006</v>
      </c>
      <c r="Z8" s="10">
        <v>84038.188999999998</v>
      </c>
      <c r="AA8" s="10">
        <f>'Liabilitites - Passivo'!AA22</f>
        <v>84125.504000000001</v>
      </c>
      <c r="AB8" s="10">
        <v>82676.349000000002</v>
      </c>
      <c r="AC8" s="10">
        <v>83113.442363972892</v>
      </c>
      <c r="AD8" s="10">
        <v>98874.394385798994</v>
      </c>
      <c r="AE8" s="10">
        <v>92505.465192921241</v>
      </c>
      <c r="AF8" s="10">
        <f>+'Liabilitites - Passivo'!AF22</f>
        <v>92777.268246183303</v>
      </c>
      <c r="AG8" s="10">
        <f>+'Liabilitites - Passivo'!AG22</f>
        <v>98595.351365470196</v>
      </c>
      <c r="AH8" s="10">
        <v>93163.982854104805</v>
      </c>
      <c r="AI8" s="10">
        <f>+'Liabilitites - Passivo'!AI22</f>
        <v>106771.172273634</v>
      </c>
    </row>
    <row r="9" spans="1:35" s="4" customFormat="1" ht="16.5">
      <c r="A9"/>
      <c r="B9" s="57" t="s">
        <v>177</v>
      </c>
      <c r="C9" s="57" t="s">
        <v>297</v>
      </c>
      <c r="D9" s="70">
        <f t="shared" ref="D9:Q9" si="0">SUM(D7:D8)</f>
        <v>58550.290999999997</v>
      </c>
      <c r="E9" s="56">
        <f t="shared" si="0"/>
        <v>61676.081000000006</v>
      </c>
      <c r="F9" s="56">
        <f t="shared" si="0"/>
        <v>59636.286999999997</v>
      </c>
      <c r="G9" s="56">
        <f t="shared" si="0"/>
        <v>57024.650999999998</v>
      </c>
      <c r="H9" s="56">
        <f t="shared" si="0"/>
        <v>56336.887000000002</v>
      </c>
      <c r="I9" s="56">
        <f t="shared" si="0"/>
        <v>63562.104000000007</v>
      </c>
      <c r="J9" s="56">
        <f t="shared" si="0"/>
        <v>61635.736000000004</v>
      </c>
      <c r="K9" s="56">
        <f t="shared" si="0"/>
        <v>56153.527999999998</v>
      </c>
      <c r="L9" s="56">
        <f t="shared" si="0"/>
        <v>56146.774999999994</v>
      </c>
      <c r="M9" s="56">
        <f t="shared" si="0"/>
        <v>51064.007987640587</v>
      </c>
      <c r="N9" s="56">
        <f t="shared" si="0"/>
        <v>52913.226000000002</v>
      </c>
      <c r="O9" s="56">
        <f t="shared" si="0"/>
        <v>53028.042999999998</v>
      </c>
      <c r="P9" s="56">
        <f t="shared" si="0"/>
        <v>75436.628000000012</v>
      </c>
      <c r="Q9" s="56">
        <f t="shared" si="0"/>
        <v>77192.721000000005</v>
      </c>
      <c r="R9" s="56">
        <f>SUM(R7:R8)</f>
        <v>73797.869000000006</v>
      </c>
      <c r="S9" s="56">
        <f>SUM(S7:S8)</f>
        <v>65906.705000000002</v>
      </c>
      <c r="T9" s="56">
        <f>SUM(T7:T8)</f>
        <v>67431.619000000006</v>
      </c>
      <c r="U9" s="56">
        <f>SUM(U7:U8)</f>
        <v>71032.782999999996</v>
      </c>
      <c r="V9" s="56">
        <f>SUM(V7:V8)</f>
        <v>84360.267000000007</v>
      </c>
      <c r="W9" s="56">
        <f t="shared" ref="W9:Z9" si="1">SUM(W7:W8)</f>
        <v>92518.153999999995</v>
      </c>
      <c r="X9" s="56">
        <f t="shared" si="1"/>
        <v>83770.247000000003</v>
      </c>
      <c r="Y9" s="56">
        <f t="shared" si="1"/>
        <v>97415.531000000003</v>
      </c>
      <c r="Z9" s="56">
        <f t="shared" si="1"/>
        <v>94927.744000000006</v>
      </c>
      <c r="AA9" s="56">
        <f>SUM(AA7:AA8)</f>
        <v>92354.061000000002</v>
      </c>
      <c r="AB9" s="56">
        <f>SUM(AB7:AB8)</f>
        <v>92710.804000000004</v>
      </c>
      <c r="AC9" s="56">
        <v>93799.021997228367</v>
      </c>
      <c r="AD9" s="56">
        <v>108113.69866493694</v>
      </c>
      <c r="AE9" s="56">
        <f>SUM(AE7:AE8)</f>
        <v>96821.824722622332</v>
      </c>
      <c r="AF9" s="56">
        <f>SUM(AF7:AF8)</f>
        <v>96591.599305216369</v>
      </c>
      <c r="AG9" s="56">
        <f>SUM(AG7:AG8)</f>
        <v>103463.63113344189</v>
      </c>
      <c r="AH9" s="56">
        <f>SUM(AH7:AH8)</f>
        <v>103285.28310420881</v>
      </c>
      <c r="AI9" s="56">
        <f>SUM(AI7:AI8)</f>
        <v>119677.32143194051</v>
      </c>
    </row>
    <row r="10" spans="1:35" ht="16.5">
      <c r="B10" s="14"/>
      <c r="C10" s="14"/>
      <c r="D10" s="4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5" s="9" customFormat="1" ht="16.5">
      <c r="A11"/>
      <c r="B11" s="9" t="s">
        <v>178</v>
      </c>
      <c r="C11" s="9" t="s">
        <v>298</v>
      </c>
      <c r="D11" s="41">
        <v>10744.308000000001</v>
      </c>
      <c r="E11" s="10">
        <v>11300.388000000001</v>
      </c>
      <c r="F11" s="10">
        <v>14097.254000000001</v>
      </c>
      <c r="G11" s="10">
        <v>11741.308000000001</v>
      </c>
      <c r="H11" s="10">
        <v>10833.147000000001</v>
      </c>
      <c r="I11" s="10">
        <v>13112.074000000001</v>
      </c>
      <c r="J11" s="10">
        <v>12093.83</v>
      </c>
      <c r="K11" s="10">
        <v>8935.7790000000005</v>
      </c>
      <c r="L11" s="10">
        <v>7413.15</v>
      </c>
      <c r="M11" s="10">
        <v>6292.0889999999999</v>
      </c>
      <c r="N11" s="10">
        <v>7813.5320000000002</v>
      </c>
      <c r="O11" s="10">
        <v>10033.967000000001</v>
      </c>
      <c r="P11" s="10">
        <v>18466.199000000001</v>
      </c>
      <c r="Q11" s="10">
        <v>22675.56</v>
      </c>
      <c r="R11" s="10">
        <v>22333.106</v>
      </c>
      <c r="S11" s="10">
        <v>19679.742999999999</v>
      </c>
      <c r="T11" s="10">
        <v>10258.531999999999</v>
      </c>
      <c r="U11" s="10">
        <v>16840.599999999999</v>
      </c>
      <c r="V11" s="10">
        <v>23332.141</v>
      </c>
      <c r="W11" s="10">
        <v>23239.15</v>
      </c>
      <c r="X11" s="10">
        <v>17281.756000000001</v>
      </c>
      <c r="Y11" s="10">
        <v>19330.433000000001</v>
      </c>
      <c r="Z11" s="10">
        <v>16665.128000000001</v>
      </c>
      <c r="AA11" s="10">
        <f>'Assets - Ativo'!AA6</f>
        <v>13182.157999999999</v>
      </c>
      <c r="AB11" s="10">
        <v>8964.6740000000009</v>
      </c>
      <c r="AC11" s="10">
        <v>13548.738876796278</v>
      </c>
      <c r="AD11" s="10">
        <v>27725.082362288973</v>
      </c>
      <c r="AE11" s="10">
        <v>22763.688021624086</v>
      </c>
      <c r="AF11" s="10">
        <f>+'Assets - Ativo'!AF6+'Assets - Ativo'!AF7</f>
        <v>17322.484075117209</v>
      </c>
      <c r="AG11" s="10">
        <f>+'Assets - Ativo'!AG6+'Assets - Ativo'!AG7</f>
        <v>21417.445900616938</v>
      </c>
      <c r="AH11" s="10">
        <v>28534.539114826712</v>
      </c>
      <c r="AI11" s="10">
        <f>+'Assets - Ativo'!AI6+'Assets - Ativo'!AI7</f>
        <v>35607.120252927511</v>
      </c>
    </row>
    <row r="12" spans="1:35" s="4" customFormat="1" ht="16.5">
      <c r="A12"/>
      <c r="B12" s="57" t="s">
        <v>179</v>
      </c>
      <c r="C12" s="57" t="s">
        <v>299</v>
      </c>
      <c r="D12" s="71">
        <f t="shared" ref="D12:Q12" si="2">D9-D11</f>
        <v>47805.982999999993</v>
      </c>
      <c r="E12" s="56">
        <f t="shared" si="2"/>
        <v>50375.693000000007</v>
      </c>
      <c r="F12" s="56">
        <f t="shared" si="2"/>
        <v>45539.032999999996</v>
      </c>
      <c r="G12" s="56">
        <f t="shared" si="2"/>
        <v>45283.342999999993</v>
      </c>
      <c r="H12" s="56">
        <f t="shared" si="2"/>
        <v>45503.740000000005</v>
      </c>
      <c r="I12" s="56">
        <f t="shared" si="2"/>
        <v>50450.030000000006</v>
      </c>
      <c r="J12" s="56">
        <f t="shared" si="2"/>
        <v>49541.906000000003</v>
      </c>
      <c r="K12" s="56">
        <f t="shared" si="2"/>
        <v>47217.748999999996</v>
      </c>
      <c r="L12" s="56">
        <f t="shared" si="2"/>
        <v>48733.624999999993</v>
      </c>
      <c r="M12" s="56">
        <f t="shared" si="2"/>
        <v>44771.918987640587</v>
      </c>
      <c r="N12" s="56">
        <f t="shared" si="2"/>
        <v>45099.694000000003</v>
      </c>
      <c r="O12" s="56">
        <f t="shared" si="2"/>
        <v>42994.076000000001</v>
      </c>
      <c r="P12" s="56">
        <f t="shared" si="2"/>
        <v>56970.429000000011</v>
      </c>
      <c r="Q12" s="56">
        <f t="shared" si="2"/>
        <v>54517.161000000007</v>
      </c>
      <c r="R12" s="56">
        <f t="shared" ref="R12" si="3">R9-R11</f>
        <v>51464.763000000006</v>
      </c>
      <c r="S12" s="56">
        <f>S9-S11</f>
        <v>46226.962</v>
      </c>
      <c r="T12" s="56">
        <f>T9-T11</f>
        <v>57173.087000000007</v>
      </c>
      <c r="U12" s="56">
        <f>U9-U11</f>
        <v>54192.182999999997</v>
      </c>
      <c r="V12" s="56">
        <f>V9-V11</f>
        <v>61028.126000000004</v>
      </c>
      <c r="W12" s="56">
        <f>W9-W11</f>
        <v>69279.003999999986</v>
      </c>
      <c r="X12" s="56">
        <f t="shared" ref="X12:Z12" si="4">X9-X11</f>
        <v>66488.491000000009</v>
      </c>
      <c r="Y12" s="56">
        <f t="shared" si="4"/>
        <v>78085.097999999998</v>
      </c>
      <c r="Z12" s="56">
        <f t="shared" si="4"/>
        <v>78262.616000000009</v>
      </c>
      <c r="AA12" s="56">
        <f>AA9-AA11</f>
        <v>79171.903000000006</v>
      </c>
      <c r="AB12" s="56">
        <f>AB9-AB11</f>
        <v>83746.13</v>
      </c>
      <c r="AC12" s="56">
        <v>80250.283120432083</v>
      </c>
      <c r="AD12" s="56">
        <v>80388.616302647963</v>
      </c>
      <c r="AE12" s="56">
        <f>AE9-AE11</f>
        <v>74058.13670099825</v>
      </c>
      <c r="AF12" s="56">
        <f>AF9-AF11</f>
        <v>79269.115230099153</v>
      </c>
      <c r="AG12" s="56">
        <f>AG9-AG11</f>
        <v>82046.185232824952</v>
      </c>
      <c r="AH12" s="56">
        <f>AH9-AH11</f>
        <v>74750.743989382099</v>
      </c>
      <c r="AI12" s="56">
        <f>AI9-AI11</f>
        <v>84070.201179013005</v>
      </c>
    </row>
    <row r="13" spans="1:35" s="4" customFormat="1" ht="16.5">
      <c r="A13"/>
      <c r="D13" s="39"/>
      <c r="E13" s="39"/>
      <c r="F13" s="39"/>
      <c r="G13" s="39"/>
      <c r="H13" s="39"/>
    </row>
    <row r="14" spans="1:35" s="4" customFormat="1" ht="16.5">
      <c r="A14"/>
      <c r="B14" s="57" t="s">
        <v>180</v>
      </c>
      <c r="C14" s="57" t="s">
        <v>300</v>
      </c>
      <c r="D14" s="72">
        <v>4.2300000000000004</v>
      </c>
      <c r="E14" s="73">
        <v>4.16</v>
      </c>
      <c r="F14" s="73">
        <v>3.42</v>
      </c>
      <c r="G14" s="73">
        <v>3.38</v>
      </c>
      <c r="H14" s="73">
        <v>3.24</v>
      </c>
      <c r="I14" s="73">
        <v>3.5</v>
      </c>
      <c r="J14" s="73">
        <v>3.41</v>
      </c>
      <c r="K14" s="73">
        <v>3.2</v>
      </c>
      <c r="L14" s="73">
        <v>3.22</v>
      </c>
      <c r="M14" s="73">
        <v>2.78</v>
      </c>
      <c r="N14" s="73">
        <v>2.56</v>
      </c>
      <c r="O14" s="73">
        <v>2.16</v>
      </c>
      <c r="P14" s="73">
        <v>2.77</v>
      </c>
      <c r="Q14" s="73">
        <v>2.09</v>
      </c>
      <c r="R14" s="73">
        <v>1.83</v>
      </c>
      <c r="S14" s="73">
        <v>1.56</v>
      </c>
      <c r="T14" s="73">
        <v>1.76</v>
      </c>
      <c r="U14" s="73">
        <v>1.61</v>
      </c>
      <c r="V14" s="73">
        <v>1.54</v>
      </c>
      <c r="W14" s="73">
        <v>1.5172054980414851</v>
      </c>
      <c r="X14" s="73">
        <v>1.3605097662078691</v>
      </c>
      <c r="Y14" s="73">
        <v>1.6429466620803674</v>
      </c>
      <c r="Z14" s="73">
        <v>1.8139783427090401</v>
      </c>
      <c r="AA14" s="73">
        <v>2.2902954238024518</v>
      </c>
      <c r="AB14" s="73">
        <v>3.1429176995024095</v>
      </c>
      <c r="AC14" s="73">
        <v>3.8669985016332165</v>
      </c>
      <c r="AD14" s="73">
        <v>4.8379698528569977</v>
      </c>
      <c r="AE14" s="73">
        <v>4.3192415871715202</v>
      </c>
      <c r="AF14" s="73">
        <f>+AF12/SUM('EBITDA Adj. - EBITDA Ajus.'!AC29:AF29)</f>
        <v>3.7019863319021264</v>
      </c>
      <c r="AG14" s="73">
        <f>+AG12/SUM('EBITDA Adj. - EBITDA Ajus.'!AD29:AH29)</f>
        <v>2.1165207716803556</v>
      </c>
      <c r="AH14" s="73">
        <v>2.2432314254212682</v>
      </c>
      <c r="AI14" s="73">
        <f>+AI12/SUM('EBITDA Adj. - EBITDA Ajus.'!AF29:AJ29)</f>
        <v>2.1534413788619156</v>
      </c>
    </row>
    <row r="15" spans="1:35" s="4" customFormat="1" ht="16.5">
      <c r="A15"/>
      <c r="B15" s="57" t="s">
        <v>181</v>
      </c>
      <c r="C15" s="57" t="s">
        <v>301</v>
      </c>
      <c r="D15" s="72">
        <v>4.4134999280432279</v>
      </c>
      <c r="E15" s="73">
        <v>4.07</v>
      </c>
      <c r="F15" s="73">
        <v>3.45</v>
      </c>
      <c r="G15" s="73">
        <v>3.26</v>
      </c>
      <c r="H15" s="73">
        <v>3.13</v>
      </c>
      <c r="I15" s="73">
        <v>2.98</v>
      </c>
      <c r="J15" s="73">
        <v>2.99</v>
      </c>
      <c r="K15" s="73">
        <v>3.01</v>
      </c>
      <c r="L15" s="73">
        <v>3.1</v>
      </c>
      <c r="M15" s="73">
        <v>2.81</v>
      </c>
      <c r="N15" s="73">
        <v>2.39</v>
      </c>
      <c r="O15" s="73">
        <v>2.13</v>
      </c>
      <c r="P15" s="73">
        <v>2.17</v>
      </c>
      <c r="Q15" s="73">
        <v>1.75</v>
      </c>
      <c r="R15" s="73">
        <v>1.6</v>
      </c>
      <c r="S15" s="73">
        <v>1.58</v>
      </c>
      <c r="T15" s="73">
        <v>1.67</v>
      </c>
      <c r="U15" s="73">
        <v>1.73</v>
      </c>
      <c r="V15" s="73">
        <v>1.49</v>
      </c>
      <c r="W15" s="73">
        <v>1.4628641787059227</v>
      </c>
      <c r="X15" s="73">
        <v>1.53</v>
      </c>
      <c r="Y15" s="73">
        <v>1.646804650177162</v>
      </c>
      <c r="Z15" s="73">
        <v>1.7637527290203787</v>
      </c>
      <c r="AA15" s="73">
        <v>2.2573204489686498</v>
      </c>
      <c r="AB15" s="73">
        <v>3.1632621250952373</v>
      </c>
      <c r="AC15" s="73">
        <v>4.1548934890402442</v>
      </c>
      <c r="AD15" s="73">
        <v>4.867906452959283</v>
      </c>
      <c r="AE15" s="73">
        <v>4.4238489894627859</v>
      </c>
      <c r="AF15" s="73">
        <v>3.6560754994419629</v>
      </c>
      <c r="AG15" s="73">
        <v>2.77</v>
      </c>
      <c r="AH15" s="73">
        <v>2.15</v>
      </c>
      <c r="AI15" s="73">
        <v>1.89</v>
      </c>
    </row>
    <row r="17" spans="3:35" s="121" customFormat="1" ht="16.5">
      <c r="C17" s="123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</row>
    <row r="18" spans="3:35" ht="16.5">
      <c r="C18" s="123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</row>
    <row r="20" spans="3:35" s="113" customFormat="1">
      <c r="C20" s="121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</row>
    <row r="23" spans="3:35">
      <c r="F23" s="126"/>
    </row>
    <row r="24" spans="3:35">
      <c r="F24" s="127"/>
    </row>
  </sheetData>
  <pageMargins left="0.511811024" right="0.511811024" top="0.78740157499999996" bottom="0.78740157499999996" header="0.31496062000000002" footer="0.31496062000000002"/>
  <pageSetup paperSize="9"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Index</vt:lpstr>
      <vt:lpstr>Assets - Ativo</vt:lpstr>
      <vt:lpstr>Liabilitites - Passivo</vt:lpstr>
      <vt:lpstr>EBITDA Adj. - EBITDA Ajus.</vt:lpstr>
      <vt:lpstr>Income Statement - DRE</vt:lpstr>
      <vt:lpstr>Cash Flow - Fluxo de Caixa</vt:lpstr>
      <vt:lpstr>Results - BU - IFRS</vt:lpstr>
      <vt:lpstr>Results - BU - US GAAP</vt:lpstr>
      <vt:lpstr>Indebtedness - Endividamento</vt:lpstr>
      <vt:lpstr>'Results - BU - IFRS'!Area_de_impressao</vt:lpstr>
    </vt:vector>
  </TitlesOfParts>
  <Company>JBS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Abe</dc:creator>
  <cp:lastModifiedBy>JOAO VALENTE DEMITO</cp:lastModifiedBy>
  <cp:lastPrinted>2025-03-11T13:26:51Z</cp:lastPrinted>
  <dcterms:created xsi:type="dcterms:W3CDTF">2020-12-18T15:17:06Z</dcterms:created>
  <dcterms:modified xsi:type="dcterms:W3CDTF">2025-05-05T10:59:02Z</dcterms:modified>
</cp:coreProperties>
</file>