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/>
  <mc:AlternateContent xmlns:mc="http://schemas.openxmlformats.org/markup-compatibility/2006">
    <mc:Choice Requires="x15">
      <x15ac:absPath xmlns:x15ac="http://schemas.microsoft.com/office/spreadsheetml/2010/11/ac" url="/Users/joaopalmeira/Documents/EE/"/>
    </mc:Choice>
  </mc:AlternateContent>
  <bookViews>
    <workbookView xWindow="0" yWindow="0" windowWidth="25600" windowHeight="16000" activeTab="3"/>
  </bookViews>
  <sheets>
    <sheet name="Ex. 1" sheetId="1" r:id="rId1"/>
    <sheet name="Ex. 2" sheetId="6" r:id="rId2"/>
    <sheet name="Ex. 3" sheetId="7" r:id="rId3"/>
    <sheet name="Ex. Teste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8" l="1"/>
  <c r="C29" i="8"/>
  <c r="C35" i="8"/>
  <c r="C34" i="8"/>
  <c r="C37" i="8"/>
  <c r="F42" i="8"/>
  <c r="D12" i="8"/>
  <c r="D14" i="8"/>
  <c r="I4" i="8"/>
  <c r="D15" i="8"/>
  <c r="D16" i="8"/>
  <c r="K12" i="8"/>
  <c r="K13" i="8"/>
  <c r="K14" i="8"/>
  <c r="K15" i="8"/>
  <c r="D17" i="8"/>
  <c r="M19" i="8"/>
  <c r="D18" i="8"/>
  <c r="D13" i="8"/>
  <c r="D19" i="8"/>
  <c r="D20" i="8"/>
  <c r="D22" i="8"/>
  <c r="D27" i="8"/>
  <c r="D28" i="8"/>
  <c r="D26" i="8"/>
  <c r="D30" i="8"/>
  <c r="D31" i="8"/>
  <c r="D29" i="8"/>
  <c r="L19" i="8"/>
  <c r="N19" i="8"/>
  <c r="D36" i="8"/>
  <c r="D34" i="8"/>
  <c r="D37" i="8"/>
  <c r="F43" i="8"/>
  <c r="E12" i="8"/>
  <c r="E14" i="8"/>
  <c r="J4" i="8"/>
  <c r="E15" i="8"/>
  <c r="E16" i="8"/>
  <c r="L12" i="8"/>
  <c r="L13" i="8"/>
  <c r="L14" i="8"/>
  <c r="L15" i="8"/>
  <c r="E17" i="8"/>
  <c r="O19" i="8"/>
  <c r="K20" i="8"/>
  <c r="M20" i="8"/>
  <c r="E18" i="8"/>
  <c r="E13" i="8"/>
  <c r="E19" i="8"/>
  <c r="E20" i="8"/>
  <c r="E22" i="8"/>
  <c r="E27" i="8"/>
  <c r="E28" i="8"/>
  <c r="E26" i="8"/>
  <c r="E30" i="8"/>
  <c r="E31" i="8"/>
  <c r="E29" i="8"/>
  <c r="L20" i="8"/>
  <c r="N20" i="8"/>
  <c r="E36" i="8"/>
  <c r="E34" i="8"/>
  <c r="E37" i="8"/>
  <c r="F44" i="8"/>
  <c r="F12" i="8"/>
  <c r="F14" i="8"/>
  <c r="K4" i="8"/>
  <c r="F15" i="8"/>
  <c r="F16" i="8"/>
  <c r="M12" i="8"/>
  <c r="M13" i="8"/>
  <c r="M14" i="8"/>
  <c r="M15" i="8"/>
  <c r="F17" i="8"/>
  <c r="O20" i="8"/>
  <c r="K21" i="8"/>
  <c r="M21" i="8"/>
  <c r="F18" i="8"/>
  <c r="F13" i="8"/>
  <c r="F19" i="8"/>
  <c r="F20" i="8"/>
  <c r="F22" i="8"/>
  <c r="F27" i="8"/>
  <c r="F28" i="8"/>
  <c r="F26" i="8"/>
  <c r="F31" i="8"/>
  <c r="F29" i="8"/>
  <c r="L21" i="8"/>
  <c r="N21" i="8"/>
  <c r="F36" i="8"/>
  <c r="F34" i="8"/>
  <c r="F37" i="8"/>
  <c r="F45" i="8"/>
  <c r="G12" i="8"/>
  <c r="G14" i="8"/>
  <c r="L4" i="8"/>
  <c r="G15" i="8"/>
  <c r="G16" i="8"/>
  <c r="N12" i="8"/>
  <c r="N13" i="8"/>
  <c r="N15" i="8"/>
  <c r="G17" i="8"/>
  <c r="O21" i="8"/>
  <c r="K22" i="8"/>
  <c r="M22" i="8"/>
  <c r="G18" i="8"/>
  <c r="G13" i="8"/>
  <c r="G19" i="8"/>
  <c r="G20" i="8"/>
  <c r="G22" i="8"/>
  <c r="G27" i="8"/>
  <c r="G28" i="8"/>
  <c r="G26" i="8"/>
  <c r="G29" i="8"/>
  <c r="L22" i="8"/>
  <c r="N22" i="8"/>
  <c r="G36" i="8"/>
  <c r="G34" i="8"/>
  <c r="G37" i="8"/>
  <c r="F46" i="8"/>
  <c r="H12" i="8"/>
  <c r="H14" i="8"/>
  <c r="M4" i="8"/>
  <c r="H15" i="8"/>
  <c r="H16" i="8"/>
  <c r="O12" i="8"/>
  <c r="O15" i="8"/>
  <c r="H17" i="8"/>
  <c r="O22" i="8"/>
  <c r="K23" i="8"/>
  <c r="M23" i="8"/>
  <c r="H18" i="8"/>
  <c r="H13" i="8"/>
  <c r="H19" i="8"/>
  <c r="H20" i="8"/>
  <c r="H22" i="8"/>
  <c r="H27" i="8"/>
  <c r="H28" i="8"/>
  <c r="H26" i="8"/>
  <c r="P12" i="8"/>
  <c r="P13" i="8"/>
  <c r="P14" i="8"/>
  <c r="P15" i="8"/>
  <c r="H32" i="8"/>
  <c r="H33" i="8"/>
  <c r="H29" i="8"/>
  <c r="L23" i="8"/>
  <c r="N23" i="8"/>
  <c r="H36" i="8"/>
  <c r="H34" i="8"/>
  <c r="H37" i="8"/>
  <c r="F47" i="8"/>
  <c r="H44" i="8"/>
  <c r="H42" i="8"/>
  <c r="H46" i="8"/>
  <c r="C39" i="8"/>
  <c r="E42" i="8"/>
  <c r="D12" i="7"/>
  <c r="D14" i="7"/>
  <c r="D15" i="7"/>
  <c r="D16" i="7"/>
  <c r="K12" i="7"/>
  <c r="K13" i="7"/>
  <c r="K14" i="7"/>
  <c r="D17" i="7"/>
  <c r="K18" i="7"/>
  <c r="M18" i="7"/>
  <c r="D18" i="7"/>
  <c r="D13" i="7"/>
  <c r="D19" i="7"/>
  <c r="D20" i="7"/>
  <c r="L12" i="7"/>
  <c r="M12" i="7"/>
  <c r="N12" i="7"/>
  <c r="O12" i="7"/>
  <c r="P12" i="7"/>
  <c r="E43" i="8"/>
  <c r="C29" i="7"/>
  <c r="C30" i="7"/>
  <c r="C28" i="7"/>
  <c r="C34" i="7"/>
  <c r="C33" i="7"/>
  <c r="C36" i="7"/>
  <c r="E41" i="7"/>
  <c r="D21" i="7"/>
  <c r="D26" i="7"/>
  <c r="D27" i="7"/>
  <c r="D25" i="7"/>
  <c r="D29" i="7"/>
  <c r="D30" i="7"/>
  <c r="D28" i="7"/>
  <c r="L18" i="7"/>
  <c r="N18" i="7"/>
  <c r="D35" i="7"/>
  <c r="D33" i="7"/>
  <c r="D36" i="7"/>
  <c r="E42" i="7"/>
  <c r="E12" i="7"/>
  <c r="E14" i="7"/>
  <c r="E15" i="7"/>
  <c r="E16" i="7"/>
  <c r="L13" i="7"/>
  <c r="L14" i="7"/>
  <c r="E17" i="7"/>
  <c r="O18" i="7"/>
  <c r="K19" i="7"/>
  <c r="M19" i="7"/>
  <c r="E18" i="7"/>
  <c r="E13" i="7"/>
  <c r="E19" i="7"/>
  <c r="E20" i="7"/>
  <c r="E21" i="7"/>
  <c r="E26" i="7"/>
  <c r="E27" i="7"/>
  <c r="E25" i="7"/>
  <c r="E29" i="7"/>
  <c r="E30" i="7"/>
  <c r="E28" i="7"/>
  <c r="L19" i="7"/>
  <c r="N19" i="7"/>
  <c r="E35" i="7"/>
  <c r="E33" i="7"/>
  <c r="E36" i="7"/>
  <c r="E43" i="7"/>
  <c r="F12" i="7"/>
  <c r="F14" i="7"/>
  <c r="F15" i="7"/>
  <c r="F16" i="7"/>
  <c r="M13" i="7"/>
  <c r="M14" i="7"/>
  <c r="F17" i="7"/>
  <c r="O19" i="7"/>
  <c r="K20" i="7"/>
  <c r="M20" i="7"/>
  <c r="F18" i="7"/>
  <c r="F13" i="7"/>
  <c r="F19" i="7"/>
  <c r="F20" i="7"/>
  <c r="F21" i="7"/>
  <c r="F26" i="7"/>
  <c r="F27" i="7"/>
  <c r="F25" i="7"/>
  <c r="F28" i="7"/>
  <c r="L20" i="7"/>
  <c r="N20" i="7"/>
  <c r="F35" i="7"/>
  <c r="F33" i="7"/>
  <c r="F36" i="7"/>
  <c r="E44" i="7"/>
  <c r="G12" i="7"/>
  <c r="G14" i="7"/>
  <c r="G15" i="7"/>
  <c r="G16" i="7"/>
  <c r="N13" i="7"/>
  <c r="N14" i="7"/>
  <c r="G17" i="7"/>
  <c r="O20" i="7"/>
  <c r="K21" i="7"/>
  <c r="M21" i="7"/>
  <c r="G18" i="7"/>
  <c r="G13" i="7"/>
  <c r="G19" i="7"/>
  <c r="G20" i="7"/>
  <c r="G21" i="7"/>
  <c r="G26" i="7"/>
  <c r="G27" i="7"/>
  <c r="G25" i="7"/>
  <c r="G28" i="7"/>
  <c r="L21" i="7"/>
  <c r="N21" i="7"/>
  <c r="G35" i="7"/>
  <c r="G33" i="7"/>
  <c r="G36" i="7"/>
  <c r="E45" i="7"/>
  <c r="C30" i="6"/>
  <c r="C31" i="6"/>
  <c r="C29" i="6"/>
  <c r="C37" i="6"/>
  <c r="E42" i="6"/>
  <c r="D12" i="6"/>
  <c r="D14" i="6"/>
  <c r="D15" i="6"/>
  <c r="D16" i="6"/>
  <c r="K12" i="6"/>
  <c r="K13" i="6"/>
  <c r="K14" i="6"/>
  <c r="K15" i="6"/>
  <c r="D17" i="6"/>
  <c r="D13" i="6"/>
  <c r="D19" i="6"/>
  <c r="D22" i="6"/>
  <c r="D27" i="6"/>
  <c r="D28" i="6"/>
  <c r="D26" i="6"/>
  <c r="D30" i="6"/>
  <c r="D31" i="6"/>
  <c r="D29" i="6"/>
  <c r="D37" i="6"/>
  <c r="E43" i="6"/>
  <c r="E12" i="6"/>
  <c r="E14" i="6"/>
  <c r="E15" i="6"/>
  <c r="E16" i="6"/>
  <c r="L12" i="6"/>
  <c r="L13" i="6"/>
  <c r="L14" i="6"/>
  <c r="L15" i="6"/>
  <c r="E17" i="6"/>
  <c r="E13" i="6"/>
  <c r="E19" i="6"/>
  <c r="E22" i="6"/>
  <c r="E27" i="6"/>
  <c r="E28" i="6"/>
  <c r="E26" i="6"/>
  <c r="E30" i="6"/>
  <c r="E31" i="6"/>
  <c r="E29" i="6"/>
  <c r="E37" i="6"/>
  <c r="E44" i="6"/>
  <c r="F12" i="6"/>
  <c r="F14" i="6"/>
  <c r="F15" i="6"/>
  <c r="F16" i="6"/>
  <c r="M12" i="6"/>
  <c r="M13" i="6"/>
  <c r="M14" i="6"/>
  <c r="M15" i="6"/>
  <c r="F17" i="6"/>
  <c r="F13" i="6"/>
  <c r="F19" i="6"/>
  <c r="E21" i="6"/>
  <c r="F21" i="6"/>
  <c r="F20" i="6"/>
  <c r="F22" i="6"/>
  <c r="F27" i="6"/>
  <c r="F28" i="6"/>
  <c r="F26" i="6"/>
  <c r="F31" i="6"/>
  <c r="F29" i="6"/>
  <c r="F37" i="6"/>
  <c r="E45" i="6"/>
  <c r="G12" i="6"/>
  <c r="G14" i="6"/>
  <c r="G15" i="6"/>
  <c r="G16" i="6"/>
  <c r="N12" i="6"/>
  <c r="N13" i="6"/>
  <c r="N15" i="6"/>
  <c r="G17" i="6"/>
  <c r="G13" i="6"/>
  <c r="G19" i="6"/>
  <c r="G20" i="6"/>
  <c r="G22" i="6"/>
  <c r="G27" i="6"/>
  <c r="G28" i="6"/>
  <c r="G26" i="6"/>
  <c r="G29" i="6"/>
  <c r="G37" i="6"/>
  <c r="E46" i="6"/>
  <c r="H12" i="6"/>
  <c r="H14" i="6"/>
  <c r="H15" i="6"/>
  <c r="H16" i="6"/>
  <c r="O12" i="6"/>
  <c r="O13" i="6"/>
  <c r="O15" i="6"/>
  <c r="H17" i="6"/>
  <c r="H13" i="6"/>
  <c r="H19" i="6"/>
  <c r="H20" i="6"/>
  <c r="H22" i="6"/>
  <c r="H27" i="6"/>
  <c r="H28" i="6"/>
  <c r="H26" i="6"/>
  <c r="P12" i="6"/>
  <c r="P13" i="6"/>
  <c r="P14" i="6"/>
  <c r="P15" i="6"/>
  <c r="H32" i="6"/>
  <c r="H33" i="6"/>
  <c r="H29" i="6"/>
  <c r="H37" i="6"/>
  <c r="E47" i="6"/>
  <c r="C39" i="6"/>
  <c r="C29" i="1"/>
  <c r="C30" i="1"/>
  <c r="C28" i="1"/>
  <c r="C36" i="1"/>
  <c r="E41" i="1"/>
  <c r="D12" i="1"/>
  <c r="D14" i="1"/>
  <c r="D15" i="1"/>
  <c r="D16" i="1"/>
  <c r="K12" i="1"/>
  <c r="K13" i="1"/>
  <c r="K14" i="1"/>
  <c r="K15" i="1"/>
  <c r="D17" i="1"/>
  <c r="D13" i="1"/>
  <c r="D19" i="1"/>
  <c r="D20" i="1"/>
  <c r="D21" i="1"/>
  <c r="D26" i="1"/>
  <c r="D27" i="1"/>
  <c r="D25" i="1"/>
  <c r="D29" i="1"/>
  <c r="D30" i="1"/>
  <c r="D28" i="1"/>
  <c r="D36" i="1"/>
  <c r="E42" i="1"/>
  <c r="E12" i="1"/>
  <c r="E14" i="1"/>
  <c r="E15" i="1"/>
  <c r="E16" i="1"/>
  <c r="L12" i="1"/>
  <c r="L13" i="1"/>
  <c r="L14" i="1"/>
  <c r="L15" i="1"/>
  <c r="E17" i="1"/>
  <c r="E13" i="1"/>
  <c r="E19" i="1"/>
  <c r="E20" i="1"/>
  <c r="E21" i="1"/>
  <c r="E26" i="1"/>
  <c r="E27" i="1"/>
  <c r="E25" i="1"/>
  <c r="E29" i="1"/>
  <c r="E30" i="1"/>
  <c r="E28" i="1"/>
  <c r="E36" i="1"/>
  <c r="E43" i="1"/>
  <c r="F12" i="1"/>
  <c r="F14" i="1"/>
  <c r="F15" i="1"/>
  <c r="F16" i="1"/>
  <c r="M12" i="1"/>
  <c r="M13" i="1"/>
  <c r="M14" i="1"/>
  <c r="M15" i="1"/>
  <c r="F17" i="1"/>
  <c r="F13" i="1"/>
  <c r="F19" i="1"/>
  <c r="F20" i="1"/>
  <c r="F21" i="1"/>
  <c r="F26" i="1"/>
  <c r="F27" i="1"/>
  <c r="F25" i="1"/>
  <c r="F30" i="1"/>
  <c r="F28" i="1"/>
  <c r="F36" i="1"/>
  <c r="E44" i="1"/>
  <c r="G12" i="1"/>
  <c r="G14" i="1"/>
  <c r="G15" i="1"/>
  <c r="G16" i="1"/>
  <c r="N12" i="1"/>
  <c r="N13" i="1"/>
  <c r="N14" i="1"/>
  <c r="N15" i="1"/>
  <c r="G17" i="1"/>
  <c r="G13" i="1"/>
  <c r="G19" i="1"/>
  <c r="G20" i="1"/>
  <c r="G21" i="1"/>
  <c r="G26" i="1"/>
  <c r="G27" i="1"/>
  <c r="G25" i="1"/>
  <c r="G28" i="1"/>
  <c r="G36" i="1"/>
  <c r="E45" i="1"/>
  <c r="H12" i="1"/>
  <c r="H14" i="1"/>
  <c r="H15" i="1"/>
  <c r="H16" i="1"/>
  <c r="O12" i="1"/>
  <c r="O13" i="1"/>
  <c r="O14" i="1"/>
  <c r="O15" i="1"/>
  <c r="H17" i="1"/>
  <c r="H13" i="1"/>
  <c r="H19" i="1"/>
  <c r="H20" i="1"/>
  <c r="H21" i="1"/>
  <c r="H26" i="1"/>
  <c r="H27" i="1"/>
  <c r="H25" i="1"/>
  <c r="P12" i="1"/>
  <c r="P13" i="1"/>
  <c r="P14" i="1"/>
  <c r="P15" i="1"/>
  <c r="H31" i="1"/>
  <c r="H32" i="1"/>
  <c r="H28" i="1"/>
  <c r="H36" i="1"/>
  <c r="E46" i="1"/>
  <c r="F41" i="7"/>
  <c r="F42" i="7"/>
  <c r="F43" i="7"/>
  <c r="C40" i="8"/>
  <c r="E44" i="8"/>
  <c r="E45" i="8"/>
  <c r="E46" i="8"/>
  <c r="F44" i="7"/>
  <c r="F45" i="7"/>
  <c r="F42" i="6"/>
  <c r="F43" i="6"/>
  <c r="F44" i="6"/>
  <c r="F45" i="6"/>
  <c r="F46" i="6"/>
  <c r="F41" i="1"/>
  <c r="F42" i="1"/>
  <c r="F43" i="1"/>
  <c r="F44" i="1"/>
  <c r="F45" i="1"/>
  <c r="F46" i="1"/>
  <c r="H43" i="1"/>
  <c r="H41" i="1"/>
  <c r="H45" i="1"/>
  <c r="I41" i="1"/>
  <c r="O23" i="8"/>
  <c r="E47" i="8"/>
  <c r="I44" i="8"/>
  <c r="I42" i="8"/>
  <c r="I41" i="7"/>
  <c r="H41" i="7"/>
  <c r="I44" i="6"/>
  <c r="I42" i="6"/>
  <c r="H42" i="6"/>
  <c r="F47" i="6"/>
  <c r="H44" i="6"/>
  <c r="I43" i="1"/>
  <c r="I45" i="1"/>
  <c r="L22" i="7"/>
  <c r="O13" i="7"/>
  <c r="P13" i="7"/>
  <c r="H16" i="7"/>
  <c r="H15" i="7"/>
  <c r="H14" i="7"/>
  <c r="O14" i="7"/>
  <c r="H17" i="7"/>
  <c r="H27" i="7"/>
  <c r="H12" i="7"/>
  <c r="I46" i="8"/>
  <c r="I46" i="6"/>
  <c r="H46" i="6"/>
  <c r="H32" i="7"/>
  <c r="P14" i="7"/>
  <c r="H31" i="7"/>
  <c r="H28" i="7"/>
  <c r="C39" i="1"/>
  <c r="C38" i="1"/>
  <c r="C40" i="6"/>
  <c r="O21" i="7"/>
  <c r="K22" i="7"/>
  <c r="M22" i="7"/>
  <c r="N22" i="7"/>
  <c r="H18" i="7"/>
  <c r="H13" i="7"/>
  <c r="H19" i="7"/>
  <c r="H20" i="7"/>
  <c r="H21" i="7"/>
  <c r="H26" i="7"/>
  <c r="H25" i="7"/>
  <c r="H35" i="7"/>
  <c r="H33" i="7"/>
  <c r="O22" i="7"/>
  <c r="H36" i="7"/>
  <c r="E46" i="7"/>
  <c r="I43" i="7"/>
  <c r="I45" i="7"/>
  <c r="F46" i="7"/>
  <c r="H43" i="7"/>
  <c r="H45" i="7"/>
  <c r="C38" i="7"/>
  <c r="C39" i="7"/>
</calcChain>
</file>

<file path=xl/sharedStrings.xml><?xml version="1.0" encoding="utf-8"?>
<sst xmlns="http://schemas.openxmlformats.org/spreadsheetml/2006/main" count="350" uniqueCount="59">
  <si>
    <t>DEMONSTRAÇÃO DE RESULTADOS</t>
  </si>
  <si>
    <t>Ano 0</t>
  </si>
  <si>
    <t>Ano 1</t>
  </si>
  <si>
    <t>Ano 2</t>
  </si>
  <si>
    <t>Ano 3</t>
  </si>
  <si>
    <t>Ano 4</t>
  </si>
  <si>
    <t>Ano 5</t>
  </si>
  <si>
    <t>Proveitos</t>
  </si>
  <si>
    <t>Custos</t>
  </si>
  <si>
    <t>Gastos gerais de fabrico</t>
  </si>
  <si>
    <t>Amortizações</t>
  </si>
  <si>
    <t>Juros</t>
  </si>
  <si>
    <t>Lucro tributável</t>
  </si>
  <si>
    <t>Imposto sobre o lucro</t>
  </si>
  <si>
    <t>Resultado líquido</t>
  </si>
  <si>
    <t>Ano</t>
  </si>
  <si>
    <t>Materiais diretos</t>
  </si>
  <si>
    <t>Mão-de-obra direta</t>
  </si>
  <si>
    <t>Resultado Líquido</t>
  </si>
  <si>
    <t>MAPA DE FLUXOS DE CAIXA</t>
  </si>
  <si>
    <t>Atividades operacionais</t>
  </si>
  <si>
    <t>Atividades de investimento</t>
  </si>
  <si>
    <t>Inv. Em Capital Fixo</t>
  </si>
  <si>
    <t>Inv. Em Fundo de Maneio</t>
  </si>
  <si>
    <t>Valor residual ICF</t>
  </si>
  <si>
    <t>Valor residual IFM</t>
  </si>
  <si>
    <t>Atividades de financiamento</t>
  </si>
  <si>
    <t>Empréstimos obtidos</t>
  </si>
  <si>
    <t>Reembolso de empréstimos</t>
  </si>
  <si>
    <t>Fluxo de caixa do projeto</t>
  </si>
  <si>
    <t>Cálculo das amortizações</t>
  </si>
  <si>
    <t>Investimento</t>
  </si>
  <si>
    <t>Outros</t>
  </si>
  <si>
    <t>Intangíveis</t>
  </si>
  <si>
    <t>Valor residual</t>
  </si>
  <si>
    <t>Total</t>
  </si>
  <si>
    <t>VAL</t>
  </si>
  <si>
    <t>TIR</t>
  </si>
  <si>
    <t>4 anos</t>
  </si>
  <si>
    <t>x anos</t>
  </si>
  <si>
    <t>5 anos</t>
  </si>
  <si>
    <t>x =</t>
  </si>
  <si>
    <t>Tangíveis</t>
  </si>
  <si>
    <t>Juro</t>
  </si>
  <si>
    <t>Amortização</t>
  </si>
  <si>
    <t>Despesas de investimento</t>
  </si>
  <si>
    <t>Ativo Fixo</t>
  </si>
  <si>
    <t>Equipamentos produtivos</t>
  </si>
  <si>
    <t>Outros equipamentos</t>
  </si>
  <si>
    <t>Fundo de Maneio</t>
  </si>
  <si>
    <t>GGF</t>
  </si>
  <si>
    <t>MOD</t>
  </si>
  <si>
    <t>Equip. Produt.</t>
  </si>
  <si>
    <t>Cálculo dos juros</t>
  </si>
  <si>
    <t xml:space="preserve"> Dívida início</t>
  </si>
  <si>
    <t>Pagamento</t>
  </si>
  <si>
    <t>Dívida final</t>
  </si>
  <si>
    <t>PRI atualizado</t>
  </si>
  <si>
    <t>PRI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</si>
</sst>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indent="2"/>
    </xf>
    <xf numFmtId="3" fontId="0" fillId="0" borderId="1" xfId="0" applyNumberFormat="1" applyBorder="1" applyAlignment="1">
      <alignment horizontal="left" indent="2"/>
    </xf>
    <xf numFmtId="3" fontId="3" fillId="0" borderId="1" xfId="0" applyNumberFormat="1" applyFont="1" applyBorder="1"/>
    <xf numFmtId="3" fontId="0" fillId="0" borderId="1" xfId="0" applyNumberFormat="1" applyBorder="1"/>
    <xf numFmtId="3" fontId="3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164" fontId="0" fillId="0" borderId="0" xfId="0" applyNumberFormat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3" fillId="0" borderId="1" xfId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3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left" indent="2"/>
    </xf>
    <xf numFmtId="0" fontId="0" fillId="3" borderId="1" xfId="0" applyFont="1" applyFill="1" applyBorder="1" applyAlignment="1">
      <alignment horizontal="left"/>
    </xf>
    <xf numFmtId="0" fontId="5" fillId="3" borderId="0" xfId="0" applyFont="1" applyFill="1" applyBorder="1"/>
    <xf numFmtId="0" fontId="0" fillId="3" borderId="0" xfId="0" applyFill="1" applyBorder="1" applyAlignment="1">
      <alignment horizontal="center" vertical="center"/>
    </xf>
    <xf numFmtId="164" fontId="0" fillId="0" borderId="0" xfId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3" fillId="0" borderId="0" xfId="0" applyFont="1" applyAlignment="1">
      <alignment horizontal="center" vertical="center"/>
    </xf>
    <xf numFmtId="3" fontId="3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6"/>
  <sheetViews>
    <sheetView topLeftCell="B30" zoomScale="110" zoomScaleNormal="110" zoomScalePageLayoutView="110" workbookViewId="0">
      <selection activeCell="E44" sqref="E44"/>
    </sheetView>
  </sheetViews>
  <sheetFormatPr baseColWidth="10" defaultColWidth="8.83203125" defaultRowHeight="15" x14ac:dyDescent="0.2"/>
  <cols>
    <col min="2" max="2" width="28.1640625" customWidth="1"/>
    <col min="3" max="3" width="15.5" style="11" customWidth="1"/>
    <col min="4" max="4" width="13.1640625" style="11" bestFit="1" customWidth="1"/>
    <col min="5" max="7" width="14.6640625" style="11" bestFit="1" customWidth="1"/>
    <col min="8" max="8" width="15.6640625" style="11" customWidth="1"/>
    <col min="9" max="9" width="13.1640625" bestFit="1" customWidth="1"/>
    <col min="10" max="10" width="14.5" customWidth="1"/>
    <col min="11" max="11" width="12" bestFit="1" customWidth="1"/>
    <col min="12" max="12" width="13.1640625" bestFit="1" customWidth="1"/>
    <col min="13" max="15" width="12" bestFit="1" customWidth="1"/>
    <col min="16" max="16" width="13.1640625" bestFit="1" customWidth="1"/>
  </cols>
  <sheetData>
    <row r="2" spans="2:17" x14ac:dyDescent="0.2">
      <c r="B2" s="29" t="s">
        <v>45</v>
      </c>
      <c r="C2" s="30" t="s">
        <v>1</v>
      </c>
      <c r="D2" s="30" t="s">
        <v>2</v>
      </c>
      <c r="E2" s="30" t="s">
        <v>3</v>
      </c>
      <c r="F2" s="30" t="s">
        <v>4</v>
      </c>
      <c r="G2" s="31"/>
      <c r="H2" s="29" t="s">
        <v>8</v>
      </c>
      <c r="I2" s="30" t="s">
        <v>2</v>
      </c>
      <c r="J2" s="30" t="s">
        <v>3</v>
      </c>
      <c r="K2" s="30" t="s">
        <v>4</v>
      </c>
      <c r="L2" s="30" t="s">
        <v>5</v>
      </c>
      <c r="M2" s="30" t="s">
        <v>6</v>
      </c>
      <c r="N2" s="32"/>
    </row>
    <row r="3" spans="2:17" x14ac:dyDescent="0.2">
      <c r="B3" s="33" t="s">
        <v>46</v>
      </c>
      <c r="C3" s="30"/>
      <c r="D3" s="30"/>
      <c r="E3" s="30"/>
      <c r="F3" s="30"/>
      <c r="G3" s="31"/>
      <c r="H3" s="34" t="s">
        <v>16</v>
      </c>
      <c r="I3" s="30">
        <v>259520</v>
      </c>
      <c r="J3" s="30">
        <v>356480</v>
      </c>
      <c r="K3" s="30">
        <v>411200</v>
      </c>
      <c r="L3" s="30">
        <v>411200</v>
      </c>
      <c r="M3" s="30">
        <v>411200</v>
      </c>
      <c r="N3" s="32"/>
    </row>
    <row r="4" spans="2:17" x14ac:dyDescent="0.2">
      <c r="B4" s="35" t="s">
        <v>33</v>
      </c>
      <c r="C4" s="30">
        <v>134000</v>
      </c>
      <c r="D4" s="30"/>
      <c r="E4" s="30"/>
      <c r="F4" s="30"/>
      <c r="G4" s="31"/>
      <c r="H4" s="36" t="s">
        <v>51</v>
      </c>
      <c r="I4" s="30">
        <v>227080</v>
      </c>
      <c r="J4" s="30">
        <v>311920</v>
      </c>
      <c r="K4" s="30">
        <v>359800</v>
      </c>
      <c r="L4" s="30">
        <v>359800</v>
      </c>
      <c r="M4" s="30">
        <v>359800</v>
      </c>
      <c r="N4" s="32"/>
    </row>
    <row r="5" spans="2:17" x14ac:dyDescent="0.2">
      <c r="B5" s="35" t="s">
        <v>47</v>
      </c>
      <c r="C5" s="30">
        <v>400000</v>
      </c>
      <c r="D5" s="30">
        <v>200000</v>
      </c>
      <c r="E5" s="30">
        <v>100000</v>
      </c>
      <c r="F5" s="30"/>
      <c r="G5" s="31"/>
      <c r="H5" s="36" t="s">
        <v>50</v>
      </c>
      <c r="I5" s="30">
        <v>162200</v>
      </c>
      <c r="J5" s="30">
        <v>222800</v>
      </c>
      <c r="K5" s="30">
        <v>257000</v>
      </c>
      <c r="L5" s="30">
        <v>257000</v>
      </c>
      <c r="M5" s="30">
        <v>257000</v>
      </c>
      <c r="N5" s="32"/>
    </row>
    <row r="6" spans="2:17" x14ac:dyDescent="0.2">
      <c r="B6" s="35" t="s">
        <v>48</v>
      </c>
      <c r="C6" s="30">
        <v>50000</v>
      </c>
      <c r="D6" s="30"/>
      <c r="E6" s="30"/>
      <c r="F6" s="30"/>
      <c r="G6" s="31"/>
      <c r="H6" s="31"/>
      <c r="I6" s="32"/>
      <c r="J6" s="32"/>
      <c r="K6" s="32"/>
      <c r="L6" s="32"/>
      <c r="M6" s="32"/>
      <c r="N6" s="32"/>
    </row>
    <row r="7" spans="2:17" x14ac:dyDescent="0.2">
      <c r="B7" s="33" t="s">
        <v>49</v>
      </c>
      <c r="C7" s="30">
        <v>50000</v>
      </c>
      <c r="D7" s="30">
        <v>30000</v>
      </c>
      <c r="E7" s="30">
        <v>20000</v>
      </c>
      <c r="F7" s="30">
        <v>10000</v>
      </c>
      <c r="G7" s="31"/>
      <c r="H7" s="30"/>
      <c r="I7" s="30" t="s">
        <v>2</v>
      </c>
      <c r="J7" s="30" t="s">
        <v>3</v>
      </c>
      <c r="K7" s="30" t="s">
        <v>4</v>
      </c>
      <c r="L7" s="30" t="s">
        <v>5</v>
      </c>
      <c r="M7" s="30" t="s">
        <v>6</v>
      </c>
      <c r="N7" s="32"/>
    </row>
    <row r="8" spans="2:17" x14ac:dyDescent="0.2">
      <c r="B8" s="37"/>
      <c r="C8" s="38"/>
      <c r="D8" s="38"/>
      <c r="E8" s="38"/>
      <c r="F8" s="38"/>
      <c r="G8" s="31"/>
      <c r="H8" s="29" t="s">
        <v>7</v>
      </c>
      <c r="I8" s="30">
        <v>760000</v>
      </c>
      <c r="J8" s="30">
        <v>1065000</v>
      </c>
      <c r="K8" s="30">
        <v>1350000</v>
      </c>
      <c r="L8" s="30">
        <v>1350000</v>
      </c>
      <c r="M8" s="30">
        <v>1350000</v>
      </c>
      <c r="N8" s="32"/>
    </row>
    <row r="10" spans="2:17" x14ac:dyDescent="0.2">
      <c r="B10" s="49" t="s">
        <v>0</v>
      </c>
      <c r="C10" s="49"/>
      <c r="D10" s="49"/>
      <c r="E10" s="49"/>
      <c r="F10" s="49"/>
      <c r="G10" s="49"/>
      <c r="H10" s="49"/>
      <c r="J10" t="s">
        <v>30</v>
      </c>
    </row>
    <row r="11" spans="2:17" x14ac:dyDescent="0.2">
      <c r="B11" s="2"/>
      <c r="C11" s="10" t="s">
        <v>1</v>
      </c>
      <c r="D11" s="10" t="s">
        <v>2</v>
      </c>
      <c r="E11" s="10" t="s">
        <v>3</v>
      </c>
      <c r="F11" s="10" t="s">
        <v>4</v>
      </c>
      <c r="G11" s="10" t="s">
        <v>5</v>
      </c>
      <c r="H11" s="10" t="s">
        <v>6</v>
      </c>
      <c r="J11" s="17" t="s">
        <v>31</v>
      </c>
      <c r="K11" s="17" t="s">
        <v>2</v>
      </c>
      <c r="L11" s="17" t="s">
        <v>3</v>
      </c>
      <c r="M11" s="17" t="s">
        <v>4</v>
      </c>
      <c r="N11" s="17" t="s">
        <v>5</v>
      </c>
      <c r="O11" s="17" t="s">
        <v>6</v>
      </c>
      <c r="P11" s="18" t="s">
        <v>34</v>
      </c>
    </row>
    <row r="12" spans="2:17" x14ac:dyDescent="0.2">
      <c r="B12" s="3" t="s">
        <v>7</v>
      </c>
      <c r="C12" s="12"/>
      <c r="D12" s="12">
        <f>I8</f>
        <v>760000</v>
      </c>
      <c r="E12" s="12">
        <f t="shared" ref="E12:H12" si="0">J8</f>
        <v>1065000</v>
      </c>
      <c r="F12" s="12">
        <f t="shared" si="0"/>
        <v>1350000</v>
      </c>
      <c r="G12" s="12">
        <f t="shared" si="0"/>
        <v>1350000</v>
      </c>
      <c r="H12" s="12">
        <f t="shared" si="0"/>
        <v>1350000</v>
      </c>
      <c r="J12" s="15" t="s">
        <v>52</v>
      </c>
      <c r="K12" s="13">
        <f>($C$5/16)+($D$5/16)</f>
        <v>37500</v>
      </c>
      <c r="L12" s="13">
        <f>($C$5/16)+($D$5/16)+($E$5/16)</f>
        <v>43750</v>
      </c>
      <c r="M12" s="13">
        <f>($C$5/16)+($D$5/16)+($E$5/16)</f>
        <v>43750</v>
      </c>
      <c r="N12" s="13">
        <f t="shared" ref="N12:O12" si="1">($C$5/16)+($D$5/16)+($E$5/16)</f>
        <v>43750</v>
      </c>
      <c r="O12" s="13">
        <f t="shared" si="1"/>
        <v>43750</v>
      </c>
      <c r="P12" s="19">
        <f>(400000+200000+100000)-SUM(K12:O12)</f>
        <v>487500</v>
      </c>
    </row>
    <row r="13" spans="2:17" x14ac:dyDescent="0.2">
      <c r="B13" s="3" t="s">
        <v>8</v>
      </c>
      <c r="C13" s="12"/>
      <c r="D13" s="12">
        <f>SUM(D14:D18)</f>
        <v>723100</v>
      </c>
      <c r="E13" s="12">
        <f t="shared" ref="E13:H13" si="2">SUM(E14:E18)</f>
        <v>971750</v>
      </c>
      <c r="F13" s="12">
        <f t="shared" si="2"/>
        <v>1108550</v>
      </c>
      <c r="G13" s="12">
        <f t="shared" si="2"/>
        <v>1108550</v>
      </c>
      <c r="H13" s="12">
        <f t="shared" si="2"/>
        <v>1108550</v>
      </c>
      <c r="J13" s="16" t="s">
        <v>32</v>
      </c>
      <c r="K13" s="13">
        <f>$C$6/5</f>
        <v>10000</v>
      </c>
      <c r="L13" s="13">
        <f t="shared" ref="L13:O13" si="3">$C$6/5</f>
        <v>10000</v>
      </c>
      <c r="M13" s="13">
        <f t="shared" si="3"/>
        <v>10000</v>
      </c>
      <c r="N13" s="13">
        <f t="shared" si="3"/>
        <v>10000</v>
      </c>
      <c r="O13" s="13">
        <f t="shared" si="3"/>
        <v>10000</v>
      </c>
      <c r="P13" s="19">
        <f>50000-SUM(K13:O13)</f>
        <v>0</v>
      </c>
    </row>
    <row r="14" spans="2:17" x14ac:dyDescent="0.2">
      <c r="B14" s="4" t="s">
        <v>16</v>
      </c>
      <c r="C14" s="12"/>
      <c r="D14" s="12">
        <f>I3</f>
        <v>259520</v>
      </c>
      <c r="E14" s="12">
        <f t="shared" ref="E14:H14" si="4">J3</f>
        <v>356480</v>
      </c>
      <c r="F14" s="12">
        <f t="shared" si="4"/>
        <v>411200</v>
      </c>
      <c r="G14" s="12">
        <f t="shared" si="4"/>
        <v>411200</v>
      </c>
      <c r="H14" s="12">
        <f t="shared" si="4"/>
        <v>411200</v>
      </c>
      <c r="J14" s="15" t="s">
        <v>33</v>
      </c>
      <c r="K14" s="13">
        <f>$C$4/5</f>
        <v>26800</v>
      </c>
      <c r="L14" s="13">
        <f t="shared" ref="L14:O14" si="5">$C$4/5</f>
        <v>26800</v>
      </c>
      <c r="M14" s="13">
        <f t="shared" si="5"/>
        <v>26800</v>
      </c>
      <c r="N14" s="13">
        <f t="shared" si="5"/>
        <v>26800</v>
      </c>
      <c r="O14" s="13">
        <f t="shared" si="5"/>
        <v>26800</v>
      </c>
      <c r="P14" s="19">
        <f>134000-SUM(K14:O14)</f>
        <v>0</v>
      </c>
    </row>
    <row r="15" spans="2:17" x14ac:dyDescent="0.2">
      <c r="B15" s="4" t="s">
        <v>17</v>
      </c>
      <c r="C15" s="12"/>
      <c r="D15" s="12">
        <f>I4</f>
        <v>227080</v>
      </c>
      <c r="E15" s="12">
        <f t="shared" ref="E15:H15" si="6">J4</f>
        <v>311920</v>
      </c>
      <c r="F15" s="12">
        <f t="shared" si="6"/>
        <v>359800</v>
      </c>
      <c r="G15" s="12">
        <f t="shared" si="6"/>
        <v>359800</v>
      </c>
      <c r="H15" s="12">
        <f t="shared" si="6"/>
        <v>359800</v>
      </c>
      <c r="J15" s="6" t="s">
        <v>35</v>
      </c>
      <c r="K15" s="21">
        <f>SUM(K12:K14)</f>
        <v>74300</v>
      </c>
      <c r="L15" s="21">
        <f t="shared" ref="L15:P15" si="7">SUM(L12:L14)</f>
        <v>80550</v>
      </c>
      <c r="M15" s="21">
        <f t="shared" si="7"/>
        <v>80550</v>
      </c>
      <c r="N15" s="21">
        <f t="shared" si="7"/>
        <v>80550</v>
      </c>
      <c r="O15" s="21">
        <f t="shared" si="7"/>
        <v>80550</v>
      </c>
      <c r="P15" s="22">
        <f t="shared" si="7"/>
        <v>487500</v>
      </c>
      <c r="Q15" s="20"/>
    </row>
    <row r="16" spans="2:17" x14ac:dyDescent="0.2">
      <c r="B16" s="4" t="s">
        <v>9</v>
      </c>
      <c r="C16" s="12"/>
      <c r="D16" s="12">
        <f>I5</f>
        <v>162200</v>
      </c>
      <c r="E16" s="12">
        <f t="shared" ref="E16:H16" si="8">J5</f>
        <v>222800</v>
      </c>
      <c r="F16" s="12">
        <f t="shared" si="8"/>
        <v>257000</v>
      </c>
      <c r="G16" s="12">
        <f t="shared" si="8"/>
        <v>257000</v>
      </c>
      <c r="H16" s="12">
        <f t="shared" si="8"/>
        <v>257000</v>
      </c>
      <c r="J16" s="1"/>
    </row>
    <row r="17" spans="2:10" x14ac:dyDescent="0.2">
      <c r="B17" s="4" t="s">
        <v>10</v>
      </c>
      <c r="C17" s="12"/>
      <c r="D17" s="12">
        <f>K15</f>
        <v>74300</v>
      </c>
      <c r="E17" s="12">
        <f t="shared" ref="E17:H17" si="9">L15</f>
        <v>80550</v>
      </c>
      <c r="F17" s="12">
        <f t="shared" si="9"/>
        <v>80550</v>
      </c>
      <c r="G17" s="12">
        <f t="shared" si="9"/>
        <v>80550</v>
      </c>
      <c r="H17" s="12">
        <f t="shared" si="9"/>
        <v>80550</v>
      </c>
      <c r="J17" s="1"/>
    </row>
    <row r="18" spans="2:10" x14ac:dyDescent="0.2">
      <c r="B18" s="5" t="s">
        <v>11</v>
      </c>
      <c r="C18" s="12"/>
      <c r="D18" s="12"/>
      <c r="E18" s="12"/>
      <c r="F18" s="12"/>
      <c r="G18" s="12"/>
      <c r="H18" s="12"/>
    </row>
    <row r="19" spans="2:10" x14ac:dyDescent="0.2">
      <c r="B19" s="6" t="s">
        <v>12</v>
      </c>
      <c r="C19" s="12"/>
      <c r="D19" s="12">
        <f>D12-D13</f>
        <v>36900</v>
      </c>
      <c r="E19" s="12">
        <f t="shared" ref="E19:H19" si="10">E12-E13</f>
        <v>93250</v>
      </c>
      <c r="F19" s="12">
        <f t="shared" si="10"/>
        <v>241450</v>
      </c>
      <c r="G19" s="12">
        <f t="shared" si="10"/>
        <v>241450</v>
      </c>
      <c r="H19" s="12">
        <f t="shared" si="10"/>
        <v>241450</v>
      </c>
      <c r="J19" s="1"/>
    </row>
    <row r="20" spans="2:10" x14ac:dyDescent="0.2">
      <c r="B20" s="7" t="s">
        <v>13</v>
      </c>
      <c r="C20" s="12"/>
      <c r="D20" s="12">
        <f>0.25*D19</f>
        <v>9225</v>
      </c>
      <c r="E20" s="12">
        <f t="shared" ref="E20:H20" si="11">0.25*E19</f>
        <v>23312.5</v>
      </c>
      <c r="F20" s="12">
        <f t="shared" si="11"/>
        <v>60362.5</v>
      </c>
      <c r="G20" s="12">
        <f t="shared" si="11"/>
        <v>60362.5</v>
      </c>
      <c r="H20" s="12">
        <f t="shared" si="11"/>
        <v>60362.5</v>
      </c>
    </row>
    <row r="21" spans="2:10" x14ac:dyDescent="0.2">
      <c r="B21" s="6" t="s">
        <v>18</v>
      </c>
      <c r="C21" s="12"/>
      <c r="D21" s="12">
        <f>D19-D20</f>
        <v>27675</v>
      </c>
      <c r="E21" s="12">
        <f t="shared" ref="E21:H21" si="12">E19-E20</f>
        <v>69937.5</v>
      </c>
      <c r="F21" s="12">
        <f t="shared" si="12"/>
        <v>181087.5</v>
      </c>
      <c r="G21" s="12">
        <f t="shared" si="12"/>
        <v>181087.5</v>
      </c>
      <c r="H21" s="12">
        <f t="shared" si="12"/>
        <v>181087.5</v>
      </c>
      <c r="J21" s="1"/>
    </row>
    <row r="22" spans="2:10" x14ac:dyDescent="0.2">
      <c r="B22" s="1"/>
      <c r="J22" s="1"/>
    </row>
    <row r="23" spans="2:10" x14ac:dyDescent="0.2">
      <c r="B23" s="49" t="s">
        <v>19</v>
      </c>
      <c r="C23" s="49"/>
      <c r="D23" s="49"/>
      <c r="E23" s="49"/>
      <c r="F23" s="49"/>
      <c r="G23" s="49"/>
      <c r="H23" s="49"/>
      <c r="J23" s="1"/>
    </row>
    <row r="24" spans="2:10" x14ac:dyDescent="0.2">
      <c r="B24" s="2"/>
      <c r="C24" s="10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J24" s="1"/>
    </row>
    <row r="25" spans="2:10" x14ac:dyDescent="0.2">
      <c r="B25" s="6" t="s">
        <v>20</v>
      </c>
      <c r="C25" s="12"/>
      <c r="D25" s="23">
        <f>D26+D27</f>
        <v>101975</v>
      </c>
      <c r="E25" s="23">
        <f t="shared" ref="E25:H25" si="13">E26+E27</f>
        <v>150487.5</v>
      </c>
      <c r="F25" s="23">
        <f t="shared" si="13"/>
        <v>261637.5</v>
      </c>
      <c r="G25" s="23">
        <f t="shared" si="13"/>
        <v>261637.5</v>
      </c>
      <c r="H25" s="23">
        <f t="shared" si="13"/>
        <v>261637.5</v>
      </c>
    </row>
    <row r="26" spans="2:10" x14ac:dyDescent="0.2">
      <c r="B26" s="5" t="s">
        <v>14</v>
      </c>
      <c r="C26" s="12"/>
      <c r="D26" s="12">
        <f>D21</f>
        <v>27675</v>
      </c>
      <c r="E26" s="12">
        <f t="shared" ref="E26:H26" si="14">E21</f>
        <v>69937.5</v>
      </c>
      <c r="F26" s="12">
        <f t="shared" si="14"/>
        <v>181087.5</v>
      </c>
      <c r="G26" s="12">
        <f t="shared" si="14"/>
        <v>181087.5</v>
      </c>
      <c r="H26" s="12">
        <f t="shared" si="14"/>
        <v>181087.5</v>
      </c>
    </row>
    <row r="27" spans="2:10" x14ac:dyDescent="0.2">
      <c r="B27" s="5" t="s">
        <v>10</v>
      </c>
      <c r="C27" s="12"/>
      <c r="D27" s="12">
        <f>D17</f>
        <v>74300</v>
      </c>
      <c r="E27" s="12">
        <f t="shared" ref="E27:H27" si="15">E17</f>
        <v>80550</v>
      </c>
      <c r="F27" s="12">
        <f t="shared" si="15"/>
        <v>80550</v>
      </c>
      <c r="G27" s="12">
        <f t="shared" si="15"/>
        <v>80550</v>
      </c>
      <c r="H27" s="12">
        <f t="shared" si="15"/>
        <v>80550</v>
      </c>
    </row>
    <row r="28" spans="2:10" x14ac:dyDescent="0.2">
      <c r="B28" s="6" t="s">
        <v>21</v>
      </c>
      <c r="C28" s="23">
        <f>SUM(C29:C30)-SUM(C31:C32)</f>
        <v>634000</v>
      </c>
      <c r="D28" s="23">
        <f t="shared" ref="D28:H28" si="16">SUM(D29:D30)-SUM(D31:D32)</f>
        <v>230000</v>
      </c>
      <c r="E28" s="23">
        <f t="shared" si="16"/>
        <v>120000</v>
      </c>
      <c r="F28" s="23">
        <f t="shared" si="16"/>
        <v>10000</v>
      </c>
      <c r="G28" s="23">
        <f t="shared" si="16"/>
        <v>0</v>
      </c>
      <c r="H28" s="23">
        <f t="shared" si="16"/>
        <v>-597500</v>
      </c>
    </row>
    <row r="29" spans="2:10" x14ac:dyDescent="0.2">
      <c r="B29" s="5" t="s">
        <v>22</v>
      </c>
      <c r="C29" s="12">
        <f>C4+C5+C6</f>
        <v>584000</v>
      </c>
      <c r="D29" s="12">
        <f>D5</f>
        <v>200000</v>
      </c>
      <c r="E29" s="12">
        <f>E5</f>
        <v>100000</v>
      </c>
      <c r="F29" s="12"/>
      <c r="G29" s="12"/>
      <c r="H29" s="12"/>
    </row>
    <row r="30" spans="2:10" x14ac:dyDescent="0.2">
      <c r="B30" s="4" t="s">
        <v>23</v>
      </c>
      <c r="C30" s="12">
        <f>C7</f>
        <v>50000</v>
      </c>
      <c r="D30" s="12">
        <f t="shared" ref="D30:F30" si="17">D7</f>
        <v>30000</v>
      </c>
      <c r="E30" s="12">
        <f t="shared" si="17"/>
        <v>20000</v>
      </c>
      <c r="F30" s="12">
        <f t="shared" si="17"/>
        <v>10000</v>
      </c>
      <c r="G30" s="12"/>
      <c r="H30" s="12"/>
    </row>
    <row r="31" spans="2:10" x14ac:dyDescent="0.2">
      <c r="B31" s="5" t="s">
        <v>24</v>
      </c>
      <c r="C31" s="12"/>
      <c r="D31" s="12"/>
      <c r="E31" s="12"/>
      <c r="F31" s="12"/>
      <c r="G31" s="12"/>
      <c r="H31" s="12">
        <f>P15</f>
        <v>487500</v>
      </c>
      <c r="I31" s="20"/>
    </row>
    <row r="32" spans="2:10" x14ac:dyDescent="0.2">
      <c r="B32" s="5" t="s">
        <v>25</v>
      </c>
      <c r="C32" s="12"/>
      <c r="D32" s="12"/>
      <c r="E32" s="12"/>
      <c r="F32" s="12"/>
      <c r="G32" s="12"/>
      <c r="H32" s="12">
        <f>SUM(C30:F30)</f>
        <v>110000</v>
      </c>
    </row>
    <row r="33" spans="2:9" x14ac:dyDescent="0.2">
      <c r="B33" s="6" t="s">
        <v>26</v>
      </c>
      <c r="C33" s="12"/>
      <c r="D33" s="12"/>
      <c r="E33" s="12"/>
      <c r="F33" s="12"/>
      <c r="G33" s="12"/>
      <c r="H33" s="12"/>
    </row>
    <row r="34" spans="2:9" x14ac:dyDescent="0.2">
      <c r="B34" s="5" t="s">
        <v>27</v>
      </c>
      <c r="C34" s="12"/>
      <c r="D34" s="12"/>
      <c r="E34" s="12"/>
      <c r="F34" s="12"/>
      <c r="G34" s="12"/>
      <c r="H34" s="12"/>
    </row>
    <row r="35" spans="2:9" x14ac:dyDescent="0.2">
      <c r="B35" s="5" t="s">
        <v>28</v>
      </c>
      <c r="C35" s="12"/>
      <c r="D35" s="12"/>
      <c r="E35" s="12"/>
      <c r="F35" s="12"/>
      <c r="G35" s="12"/>
      <c r="H35" s="12"/>
    </row>
    <row r="36" spans="2:9" x14ac:dyDescent="0.2">
      <c r="B36" s="8" t="s">
        <v>29</v>
      </c>
      <c r="C36" s="12">
        <f>C25-C28+C33</f>
        <v>-634000</v>
      </c>
      <c r="D36" s="12">
        <f t="shared" ref="D36:H36" si="18">D25-D28+D33</f>
        <v>-128025</v>
      </c>
      <c r="E36" s="12">
        <f t="shared" si="18"/>
        <v>30487.5</v>
      </c>
      <c r="F36" s="12">
        <f t="shared" si="18"/>
        <v>251637.5</v>
      </c>
      <c r="G36" s="12">
        <f t="shared" si="18"/>
        <v>261637.5</v>
      </c>
      <c r="H36" s="12">
        <f t="shared" si="18"/>
        <v>859137.5</v>
      </c>
    </row>
    <row r="37" spans="2:9" x14ac:dyDescent="0.2">
      <c r="B37" s="1"/>
    </row>
    <row r="38" spans="2:9" x14ac:dyDescent="0.2">
      <c r="B38" s="43" t="s">
        <v>36</v>
      </c>
      <c r="C38" s="44">
        <f>NPV(12%,D36:H36)+C36</f>
        <v>108880.06623028009</v>
      </c>
    </row>
    <row r="39" spans="2:9" x14ac:dyDescent="0.2">
      <c r="B39" s="43" t="s">
        <v>37</v>
      </c>
      <c r="C39" s="45">
        <f>IRR(C36:H36)</f>
        <v>0.15736675738741934</v>
      </c>
    </row>
    <row r="40" spans="2:9" x14ac:dyDescent="0.2">
      <c r="B40" s="28"/>
      <c r="D40" s="11" t="s">
        <v>15</v>
      </c>
      <c r="E40" s="42" t="s">
        <v>57</v>
      </c>
      <c r="F40" s="42" t="s">
        <v>58</v>
      </c>
      <c r="H40" s="46" t="s">
        <v>58</v>
      </c>
      <c r="I40" s="46" t="s">
        <v>57</v>
      </c>
    </row>
    <row r="41" spans="2:9" x14ac:dyDescent="0.2">
      <c r="B41" s="1"/>
      <c r="D41" s="11">
        <v>0</v>
      </c>
      <c r="E41" s="26">
        <f>C36</f>
        <v>-634000</v>
      </c>
      <c r="F41" s="26">
        <f>C36</f>
        <v>-634000</v>
      </c>
      <c r="G41" s="11" t="s">
        <v>38</v>
      </c>
      <c r="H41" s="24">
        <f>F45</f>
        <v>-218262.5</v>
      </c>
      <c r="I41" s="20">
        <f>E45</f>
        <v>-378617.62402465777</v>
      </c>
    </row>
    <row r="42" spans="2:9" x14ac:dyDescent="0.2">
      <c r="D42" s="11">
        <v>1</v>
      </c>
      <c r="E42" s="26">
        <f>E41+D36*(1+0.12)^-D42</f>
        <v>-748308.03571428568</v>
      </c>
      <c r="F42" s="26">
        <f>F41+D36</f>
        <v>-762025</v>
      </c>
      <c r="G42" s="11" t="s">
        <v>39</v>
      </c>
      <c r="H42" s="11">
        <v>0</v>
      </c>
      <c r="I42">
        <v>0</v>
      </c>
    </row>
    <row r="43" spans="2:9" x14ac:dyDescent="0.2">
      <c r="B43" s="1"/>
      <c r="D43" s="11">
        <v>2</v>
      </c>
      <c r="E43" s="26">
        <f>E42+E36*(1+0.12)^-D43</f>
        <v>-724003.58737244899</v>
      </c>
      <c r="F43" s="26">
        <f>F42+E36</f>
        <v>-731537.5</v>
      </c>
      <c r="G43" s="11" t="s">
        <v>40</v>
      </c>
      <c r="H43" s="24">
        <f>F46</f>
        <v>640875</v>
      </c>
      <c r="I43" s="20">
        <f>E46</f>
        <v>108880.06623028027</v>
      </c>
    </row>
    <row r="44" spans="2:9" x14ac:dyDescent="0.2">
      <c r="B44" s="1"/>
      <c r="D44" s="11">
        <v>3</v>
      </c>
      <c r="E44" s="26">
        <f>E43+F36*(1+0.12)^-D44</f>
        <v>-544892.98526330176</v>
      </c>
      <c r="F44" s="26">
        <f>F43+F36</f>
        <v>-479900</v>
      </c>
    </row>
    <row r="45" spans="2:9" x14ac:dyDescent="0.2">
      <c r="B45" s="1"/>
      <c r="D45" s="11">
        <v>4</v>
      </c>
      <c r="E45" s="26">
        <f>E44+G36*(1+0.12)^-D45</f>
        <v>-378617.62402465777</v>
      </c>
      <c r="F45" s="26">
        <f>F44+G36</f>
        <v>-218262.5</v>
      </c>
      <c r="G45" s="11" t="s">
        <v>41</v>
      </c>
      <c r="H45" s="47">
        <f>((1/(H43-H41))*(H42-H41))+4</f>
        <v>4.2540483915554841</v>
      </c>
      <c r="I45" s="47">
        <f>((1/(I43-I41))*(I42-I41))+4</f>
        <v>4.7766552162055556</v>
      </c>
    </row>
    <row r="46" spans="2:9" x14ac:dyDescent="0.2">
      <c r="B46" s="1"/>
      <c r="D46" s="11">
        <v>5</v>
      </c>
      <c r="E46" s="27">
        <f>E45+H36*(1+0.12)^-D46</f>
        <v>108880.06623028027</v>
      </c>
      <c r="F46" s="24">
        <f>F45+H36</f>
        <v>640875</v>
      </c>
    </row>
    <row r="47" spans="2:9" x14ac:dyDescent="0.2">
      <c r="B47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</sheetData>
  <mergeCells count="2">
    <mergeCell ref="B10:H10"/>
    <mergeCell ref="B23:H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7"/>
  <sheetViews>
    <sheetView topLeftCell="A32" workbookViewId="0">
      <selection activeCell="E48" sqref="E48"/>
    </sheetView>
  </sheetViews>
  <sheetFormatPr baseColWidth="10" defaultColWidth="8.83203125" defaultRowHeight="15" x14ac:dyDescent="0.2"/>
  <cols>
    <col min="2" max="2" width="28.1640625" customWidth="1"/>
    <col min="3" max="3" width="15.5" style="11" customWidth="1"/>
    <col min="4" max="4" width="13.1640625" style="11" bestFit="1" customWidth="1"/>
    <col min="5" max="7" width="14.6640625" style="11" bestFit="1" customWidth="1"/>
    <col min="8" max="8" width="15.6640625" style="11" customWidth="1"/>
    <col min="9" max="9" width="13.1640625" bestFit="1" customWidth="1"/>
    <col min="10" max="10" width="14.5" customWidth="1"/>
    <col min="11" max="12" width="13.1640625" bestFit="1" customWidth="1"/>
    <col min="13" max="15" width="12" bestFit="1" customWidth="1"/>
    <col min="16" max="16" width="13.1640625" bestFit="1" customWidth="1"/>
  </cols>
  <sheetData>
    <row r="2" spans="2:17" x14ac:dyDescent="0.2">
      <c r="B2" s="29" t="s">
        <v>45</v>
      </c>
      <c r="C2" s="30" t="s">
        <v>1</v>
      </c>
      <c r="D2" s="30" t="s">
        <v>2</v>
      </c>
      <c r="E2" s="30" t="s">
        <v>3</v>
      </c>
      <c r="F2" s="30" t="s">
        <v>4</v>
      </c>
      <c r="G2" s="31"/>
      <c r="H2" s="29" t="s">
        <v>8</v>
      </c>
      <c r="I2" s="30" t="s">
        <v>2</v>
      </c>
      <c r="J2" s="30" t="s">
        <v>3</v>
      </c>
      <c r="K2" s="30" t="s">
        <v>4</v>
      </c>
      <c r="L2" s="30" t="s">
        <v>5</v>
      </c>
      <c r="M2" s="30" t="s">
        <v>6</v>
      </c>
      <c r="N2" s="32"/>
    </row>
    <row r="3" spans="2:17" x14ac:dyDescent="0.2">
      <c r="B3" s="33" t="s">
        <v>46</v>
      </c>
      <c r="C3" s="30"/>
      <c r="D3" s="30"/>
      <c r="E3" s="30"/>
      <c r="F3" s="30"/>
      <c r="G3" s="31"/>
      <c r="H3" s="34" t="s">
        <v>16</v>
      </c>
      <c r="I3" s="30">
        <v>115200</v>
      </c>
      <c r="J3" s="30">
        <v>130880</v>
      </c>
      <c r="K3" s="30">
        <v>150550</v>
      </c>
      <c r="L3" s="30">
        <v>150550</v>
      </c>
      <c r="M3" s="30">
        <v>150550</v>
      </c>
      <c r="N3" s="32"/>
    </row>
    <row r="4" spans="2:17" x14ac:dyDescent="0.2">
      <c r="B4" s="35" t="s">
        <v>33</v>
      </c>
      <c r="C4" s="30">
        <v>69000</v>
      </c>
      <c r="D4" s="30"/>
      <c r="E4" s="30"/>
      <c r="F4" s="30"/>
      <c r="G4" s="31"/>
      <c r="H4" s="36" t="s">
        <v>51</v>
      </c>
      <c r="I4" s="30">
        <v>100800</v>
      </c>
      <c r="J4" s="30">
        <v>114520</v>
      </c>
      <c r="K4" s="30">
        <v>131731</v>
      </c>
      <c r="L4" s="30">
        <v>131731</v>
      </c>
      <c r="M4" s="30">
        <v>131731</v>
      </c>
      <c r="N4" s="32"/>
    </row>
    <row r="5" spans="2:17" x14ac:dyDescent="0.2">
      <c r="B5" s="35" t="s">
        <v>47</v>
      </c>
      <c r="C5" s="30">
        <v>200000</v>
      </c>
      <c r="D5" s="30">
        <v>94000</v>
      </c>
      <c r="E5" s="30">
        <v>490000</v>
      </c>
      <c r="F5" s="30"/>
      <c r="G5" s="31"/>
      <c r="H5" s="36" t="s">
        <v>50</v>
      </c>
      <c r="I5" s="30">
        <v>72000</v>
      </c>
      <c r="J5" s="30">
        <v>81800</v>
      </c>
      <c r="K5" s="30">
        <v>94094</v>
      </c>
      <c r="L5" s="30">
        <v>94094</v>
      </c>
      <c r="M5" s="30">
        <v>94094</v>
      </c>
      <c r="N5" s="32"/>
    </row>
    <row r="6" spans="2:17" x14ac:dyDescent="0.2">
      <c r="B6" s="35" t="s">
        <v>48</v>
      </c>
      <c r="C6" s="30">
        <v>25000</v>
      </c>
      <c r="D6" s="30"/>
      <c r="E6" s="30"/>
      <c r="F6" s="30"/>
      <c r="G6" s="31"/>
      <c r="H6" s="31"/>
      <c r="I6" s="32"/>
      <c r="J6" s="32"/>
      <c r="K6" s="32"/>
      <c r="L6" s="32"/>
      <c r="M6" s="32"/>
      <c r="N6" s="32"/>
    </row>
    <row r="7" spans="2:17" x14ac:dyDescent="0.2">
      <c r="B7" s="33" t="s">
        <v>49</v>
      </c>
      <c r="C7" s="30">
        <v>25000</v>
      </c>
      <c r="D7" s="30">
        <v>15000</v>
      </c>
      <c r="E7" s="30">
        <v>10000</v>
      </c>
      <c r="F7" s="30">
        <v>5000</v>
      </c>
      <c r="G7" s="31"/>
      <c r="H7" s="30"/>
      <c r="I7" s="30" t="s">
        <v>2</v>
      </c>
      <c r="J7" s="30" t="s">
        <v>3</v>
      </c>
      <c r="K7" s="30" t="s">
        <v>4</v>
      </c>
      <c r="L7" s="30" t="s">
        <v>5</v>
      </c>
      <c r="M7" s="30" t="s">
        <v>6</v>
      </c>
      <c r="N7" s="32"/>
    </row>
    <row r="8" spans="2:17" x14ac:dyDescent="0.2">
      <c r="B8" s="37"/>
      <c r="C8" s="38"/>
      <c r="D8" s="38"/>
      <c r="E8" s="38"/>
      <c r="F8" s="38"/>
      <c r="G8" s="31"/>
      <c r="H8" s="29" t="s">
        <v>7</v>
      </c>
      <c r="I8" s="30">
        <v>280000</v>
      </c>
      <c r="J8" s="30">
        <v>392000</v>
      </c>
      <c r="K8" s="30">
        <v>532500</v>
      </c>
      <c r="L8" s="30">
        <v>532500</v>
      </c>
      <c r="M8" s="30">
        <v>532500</v>
      </c>
      <c r="N8" s="32"/>
    </row>
    <row r="10" spans="2:17" x14ac:dyDescent="0.2">
      <c r="B10" s="49" t="s">
        <v>0</v>
      </c>
      <c r="C10" s="49"/>
      <c r="D10" s="49"/>
      <c r="E10" s="49"/>
      <c r="F10" s="49"/>
      <c r="G10" s="49"/>
      <c r="H10" s="49"/>
      <c r="J10" t="s">
        <v>30</v>
      </c>
    </row>
    <row r="11" spans="2:17" x14ac:dyDescent="0.2">
      <c r="B11" s="2"/>
      <c r="C11" s="10" t="s">
        <v>1</v>
      </c>
      <c r="D11" s="10" t="s">
        <v>2</v>
      </c>
      <c r="E11" s="10" t="s">
        <v>3</v>
      </c>
      <c r="F11" s="10" t="s">
        <v>4</v>
      </c>
      <c r="G11" s="10" t="s">
        <v>5</v>
      </c>
      <c r="H11" s="10" t="s">
        <v>6</v>
      </c>
      <c r="J11" s="17" t="s">
        <v>31</v>
      </c>
      <c r="K11" s="17" t="s">
        <v>2</v>
      </c>
      <c r="L11" s="17" t="s">
        <v>3</v>
      </c>
      <c r="M11" s="17" t="s">
        <v>4</v>
      </c>
      <c r="N11" s="17" t="s">
        <v>5</v>
      </c>
      <c r="O11" s="17" t="s">
        <v>6</v>
      </c>
      <c r="P11" s="18" t="s">
        <v>34</v>
      </c>
    </row>
    <row r="12" spans="2:17" x14ac:dyDescent="0.2">
      <c r="B12" s="3" t="s">
        <v>7</v>
      </c>
      <c r="C12" s="12"/>
      <c r="D12" s="12">
        <f>I8</f>
        <v>280000</v>
      </c>
      <c r="E12" s="12">
        <f>J8</f>
        <v>392000</v>
      </c>
      <c r="F12" s="12">
        <f t="shared" ref="F12:G12" si="0">K8</f>
        <v>532500</v>
      </c>
      <c r="G12" s="12">
        <f t="shared" si="0"/>
        <v>532500</v>
      </c>
      <c r="H12" s="12">
        <f>M8</f>
        <v>532500</v>
      </c>
      <c r="J12" s="15" t="s">
        <v>52</v>
      </c>
      <c r="K12" s="13">
        <f>($C$5/14)+($D$5/14)</f>
        <v>21000</v>
      </c>
      <c r="L12" s="13">
        <f>($C$5/14)+($D$5/14)+($E$5/14)</f>
        <v>56000</v>
      </c>
      <c r="M12" s="13">
        <f>($C$5/14)+($D$5/14)+($E$5/14)</f>
        <v>56000</v>
      </c>
      <c r="N12" s="13">
        <f t="shared" ref="N12:O12" si="1">($C$5/14)+($D$5/14)+($E$5/14)</f>
        <v>56000</v>
      </c>
      <c r="O12" s="13">
        <f t="shared" si="1"/>
        <v>56000</v>
      </c>
      <c r="P12" s="19">
        <f>SUM(C5:E5)-SUM(K12:O12)</f>
        <v>539000</v>
      </c>
    </row>
    <row r="13" spans="2:17" x14ac:dyDescent="0.2">
      <c r="B13" s="3" t="s">
        <v>8</v>
      </c>
      <c r="C13" s="12"/>
      <c r="D13" s="12">
        <f>SUM(D14:D18)</f>
        <v>335125</v>
      </c>
      <c r="E13" s="12">
        <f t="shared" ref="E13:H13" si="2">SUM(E14:E18)</f>
        <v>409325</v>
      </c>
      <c r="F13" s="12">
        <f t="shared" si="2"/>
        <v>458500</v>
      </c>
      <c r="G13" s="12">
        <f t="shared" si="2"/>
        <v>435500</v>
      </c>
      <c r="H13" s="12">
        <f t="shared" si="2"/>
        <v>435500</v>
      </c>
      <c r="J13" s="16" t="s">
        <v>32</v>
      </c>
      <c r="K13" s="13">
        <f>$C$6/8</f>
        <v>3125</v>
      </c>
      <c r="L13" s="13">
        <f t="shared" ref="L13:O13" si="3">$C$6/8</f>
        <v>3125</v>
      </c>
      <c r="M13" s="13">
        <f t="shared" si="3"/>
        <v>3125</v>
      </c>
      <c r="N13" s="13">
        <f t="shared" si="3"/>
        <v>3125</v>
      </c>
      <c r="O13" s="13">
        <f t="shared" si="3"/>
        <v>3125</v>
      </c>
      <c r="P13" s="19">
        <f>C6-SUM(K13:O13)</f>
        <v>9375</v>
      </c>
    </row>
    <row r="14" spans="2:17" x14ac:dyDescent="0.2">
      <c r="B14" s="4" t="s">
        <v>16</v>
      </c>
      <c r="C14" s="12"/>
      <c r="D14" s="12">
        <f>I3</f>
        <v>115200</v>
      </c>
      <c r="E14" s="12">
        <f t="shared" ref="E14:H16" si="4">J3</f>
        <v>130880</v>
      </c>
      <c r="F14" s="12">
        <f t="shared" si="4"/>
        <v>150550</v>
      </c>
      <c r="G14" s="12">
        <f t="shared" si="4"/>
        <v>150550</v>
      </c>
      <c r="H14" s="12">
        <f t="shared" si="4"/>
        <v>150550</v>
      </c>
      <c r="J14" s="15" t="s">
        <v>33</v>
      </c>
      <c r="K14" s="13">
        <f>$C$4/3</f>
        <v>23000</v>
      </c>
      <c r="L14" s="13">
        <f t="shared" ref="L14:M14" si="5">$C$4/3</f>
        <v>23000</v>
      </c>
      <c r="M14" s="13">
        <f t="shared" si="5"/>
        <v>23000</v>
      </c>
      <c r="N14" s="13">
        <v>0</v>
      </c>
      <c r="O14" s="13">
        <v>0</v>
      </c>
      <c r="P14" s="19">
        <f>C4-SUM(K14:O14)</f>
        <v>0</v>
      </c>
    </row>
    <row r="15" spans="2:17" x14ac:dyDescent="0.2">
      <c r="B15" s="4" t="s">
        <v>17</v>
      </c>
      <c r="C15" s="12"/>
      <c r="D15" s="12">
        <f>I4</f>
        <v>100800</v>
      </c>
      <c r="E15" s="12">
        <f t="shared" si="4"/>
        <v>114520</v>
      </c>
      <c r="F15" s="12">
        <f t="shared" si="4"/>
        <v>131731</v>
      </c>
      <c r="G15" s="12">
        <f t="shared" si="4"/>
        <v>131731</v>
      </c>
      <c r="H15" s="12">
        <f t="shared" si="4"/>
        <v>131731</v>
      </c>
      <c r="J15" s="6" t="s">
        <v>35</v>
      </c>
      <c r="K15" s="21">
        <f>SUM(K12:K14)</f>
        <v>47125</v>
      </c>
      <c r="L15" s="21">
        <f t="shared" ref="L15:O15" si="6">SUM(L12:L14)</f>
        <v>82125</v>
      </c>
      <c r="M15" s="21">
        <f t="shared" si="6"/>
        <v>82125</v>
      </c>
      <c r="N15" s="21">
        <f t="shared" si="6"/>
        <v>59125</v>
      </c>
      <c r="O15" s="21">
        <f t="shared" si="6"/>
        <v>59125</v>
      </c>
      <c r="P15" s="22">
        <f>SUM(P12:P14)</f>
        <v>548375</v>
      </c>
      <c r="Q15" s="20"/>
    </row>
    <row r="16" spans="2:17" x14ac:dyDescent="0.2">
      <c r="B16" s="4" t="s">
        <v>9</v>
      </c>
      <c r="C16" s="12"/>
      <c r="D16" s="12">
        <f>I5</f>
        <v>72000</v>
      </c>
      <c r="E16" s="12">
        <f t="shared" si="4"/>
        <v>81800</v>
      </c>
      <c r="F16" s="12">
        <f t="shared" si="4"/>
        <v>94094</v>
      </c>
      <c r="G16" s="12">
        <f t="shared" si="4"/>
        <v>94094</v>
      </c>
      <c r="H16" s="12">
        <f t="shared" si="4"/>
        <v>94094</v>
      </c>
      <c r="J16" s="1"/>
    </row>
    <row r="17" spans="2:10" x14ac:dyDescent="0.2">
      <c r="B17" s="4" t="s">
        <v>10</v>
      </c>
      <c r="C17" s="12"/>
      <c r="D17" s="12">
        <f>K15</f>
        <v>47125</v>
      </c>
      <c r="E17" s="12">
        <f t="shared" ref="E17:H17" si="7">L15</f>
        <v>82125</v>
      </c>
      <c r="F17" s="12">
        <f t="shared" si="7"/>
        <v>82125</v>
      </c>
      <c r="G17" s="12">
        <f t="shared" si="7"/>
        <v>59125</v>
      </c>
      <c r="H17" s="12">
        <f t="shared" si="7"/>
        <v>59125</v>
      </c>
      <c r="J17" s="1"/>
    </row>
    <row r="18" spans="2:10" x14ac:dyDescent="0.2">
      <c r="B18" s="5" t="s">
        <v>11</v>
      </c>
      <c r="C18" s="12"/>
      <c r="D18" s="12"/>
      <c r="E18" s="12"/>
      <c r="F18" s="12"/>
      <c r="G18" s="12"/>
      <c r="H18" s="12"/>
    </row>
    <row r="19" spans="2:10" x14ac:dyDescent="0.2">
      <c r="B19" s="6" t="s">
        <v>12</v>
      </c>
      <c r="C19" s="12"/>
      <c r="D19" s="12">
        <f>D12-D13</f>
        <v>-55125</v>
      </c>
      <c r="E19" s="12">
        <f t="shared" ref="E19:H19" si="8">E12-E13</f>
        <v>-17325</v>
      </c>
      <c r="F19" s="12">
        <f t="shared" si="8"/>
        <v>74000</v>
      </c>
      <c r="G19" s="12">
        <f t="shared" si="8"/>
        <v>97000</v>
      </c>
      <c r="H19" s="12">
        <f t="shared" si="8"/>
        <v>97000</v>
      </c>
      <c r="J19" s="1"/>
    </row>
    <row r="20" spans="2:10" x14ac:dyDescent="0.2">
      <c r="B20" s="7" t="s">
        <v>13</v>
      </c>
      <c r="C20" s="12"/>
      <c r="D20" s="12">
        <v>0</v>
      </c>
      <c r="E20" s="12">
        <v>0</v>
      </c>
      <c r="F20" s="12">
        <f>0.25*F21</f>
        <v>387.5</v>
      </c>
      <c r="G20" s="12">
        <f>0.25*G19</f>
        <v>24250</v>
      </c>
      <c r="H20" s="12">
        <f t="shared" ref="H20" si="9">0.25*H19</f>
        <v>24250</v>
      </c>
    </row>
    <row r="21" spans="2:10" x14ac:dyDescent="0.2">
      <c r="B21" s="7" t="s">
        <v>12</v>
      </c>
      <c r="C21" s="12"/>
      <c r="D21" s="12">
        <v>0</v>
      </c>
      <c r="E21" s="12">
        <f>E19+D19</f>
        <v>-72450</v>
      </c>
      <c r="F21" s="12">
        <f>F19+E21</f>
        <v>1550</v>
      </c>
      <c r="G21" s="12"/>
      <c r="H21" s="12"/>
    </row>
    <row r="22" spans="2:10" x14ac:dyDescent="0.2">
      <c r="B22" s="6" t="s">
        <v>18</v>
      </c>
      <c r="C22" s="12"/>
      <c r="D22" s="12">
        <f>D19-D20</f>
        <v>-55125</v>
      </c>
      <c r="E22" s="12">
        <f>E19-E20</f>
        <v>-17325</v>
      </c>
      <c r="F22" s="12">
        <f>F19-F20</f>
        <v>73612.5</v>
      </c>
      <c r="G22" s="12">
        <f>G19-G20</f>
        <v>72750</v>
      </c>
      <c r="H22" s="12">
        <f>H19-H20</f>
        <v>72750</v>
      </c>
      <c r="J22" s="1"/>
    </row>
    <row r="23" spans="2:10" x14ac:dyDescent="0.2">
      <c r="B23" s="1"/>
      <c r="J23" s="1"/>
    </row>
    <row r="24" spans="2:10" x14ac:dyDescent="0.2">
      <c r="B24" s="49" t="s">
        <v>19</v>
      </c>
      <c r="C24" s="49"/>
      <c r="D24" s="49"/>
      <c r="E24" s="49"/>
      <c r="F24" s="49"/>
      <c r="G24" s="49"/>
      <c r="H24" s="49"/>
      <c r="J24" s="1"/>
    </row>
    <row r="25" spans="2:10" x14ac:dyDescent="0.2">
      <c r="B25" s="2"/>
      <c r="C25" s="10" t="s">
        <v>1</v>
      </c>
      <c r="D25" s="10" t="s">
        <v>2</v>
      </c>
      <c r="E25" s="10" t="s">
        <v>3</v>
      </c>
      <c r="F25" s="10" t="s">
        <v>4</v>
      </c>
      <c r="G25" s="10" t="s">
        <v>5</v>
      </c>
      <c r="H25" s="10" t="s">
        <v>6</v>
      </c>
      <c r="J25" s="1"/>
    </row>
    <row r="26" spans="2:10" x14ac:dyDescent="0.2">
      <c r="B26" s="6" t="s">
        <v>20</v>
      </c>
      <c r="C26" s="12"/>
      <c r="D26" s="23">
        <f>D27+D28</f>
        <v>-8000</v>
      </c>
      <c r="E26" s="23">
        <f t="shared" ref="E26:H26" si="10">E27+E28</f>
        <v>64800</v>
      </c>
      <c r="F26" s="23">
        <f t="shared" si="10"/>
        <v>155737.5</v>
      </c>
      <c r="G26" s="23">
        <f t="shared" si="10"/>
        <v>131875</v>
      </c>
      <c r="H26" s="23">
        <f t="shared" si="10"/>
        <v>131875</v>
      </c>
    </row>
    <row r="27" spans="2:10" x14ac:dyDescent="0.2">
      <c r="B27" s="5" t="s">
        <v>14</v>
      </c>
      <c r="C27" s="12"/>
      <c r="D27" s="12">
        <f>D22</f>
        <v>-55125</v>
      </c>
      <c r="E27" s="12">
        <f t="shared" ref="E27:H27" si="11">E22</f>
        <v>-17325</v>
      </c>
      <c r="F27" s="12">
        <f t="shared" si="11"/>
        <v>73612.5</v>
      </c>
      <c r="G27" s="12">
        <f t="shared" si="11"/>
        <v>72750</v>
      </c>
      <c r="H27" s="12">
        <f t="shared" si="11"/>
        <v>72750</v>
      </c>
    </row>
    <row r="28" spans="2:10" x14ac:dyDescent="0.2">
      <c r="B28" s="5" t="s">
        <v>10</v>
      </c>
      <c r="C28" s="12"/>
      <c r="D28" s="12">
        <f>D17</f>
        <v>47125</v>
      </c>
      <c r="E28" s="12">
        <f t="shared" ref="E28:H28" si="12">E17</f>
        <v>82125</v>
      </c>
      <c r="F28" s="12">
        <f t="shared" si="12"/>
        <v>82125</v>
      </c>
      <c r="G28" s="12">
        <f t="shared" si="12"/>
        <v>59125</v>
      </c>
      <c r="H28" s="12">
        <f t="shared" si="12"/>
        <v>59125</v>
      </c>
    </row>
    <row r="29" spans="2:10" x14ac:dyDescent="0.2">
      <c r="B29" s="6" t="s">
        <v>21</v>
      </c>
      <c r="C29" s="23">
        <f>SUM(C30:C31)-SUM(C32:C33)</f>
        <v>319000</v>
      </c>
      <c r="D29" s="23">
        <f t="shared" ref="D29:G29" si="13">SUM(D30:D31)-SUM(D32:D33)</f>
        <v>109000</v>
      </c>
      <c r="E29" s="23">
        <f t="shared" si="13"/>
        <v>500000</v>
      </c>
      <c r="F29" s="23">
        <f t="shared" si="13"/>
        <v>5000</v>
      </c>
      <c r="G29" s="23">
        <f t="shared" si="13"/>
        <v>0</v>
      </c>
      <c r="H29" s="23">
        <f>SUM(H30:H31)-SUM(H32:H33)</f>
        <v>-603375</v>
      </c>
    </row>
    <row r="30" spans="2:10" x14ac:dyDescent="0.2">
      <c r="B30" s="5" t="s">
        <v>22</v>
      </c>
      <c r="C30" s="12">
        <f>C4+C5+C6</f>
        <v>294000</v>
      </c>
      <c r="D30" s="12">
        <f>D5</f>
        <v>94000</v>
      </c>
      <c r="E30" s="12">
        <f>E5</f>
        <v>490000</v>
      </c>
      <c r="F30" s="12"/>
      <c r="G30" s="12"/>
      <c r="H30" s="12"/>
    </row>
    <row r="31" spans="2:10" x14ac:dyDescent="0.2">
      <c r="B31" s="4" t="s">
        <v>23</v>
      </c>
      <c r="C31" s="12">
        <f>C7</f>
        <v>25000</v>
      </c>
      <c r="D31" s="12">
        <f>D7</f>
        <v>15000</v>
      </c>
      <c r="E31" s="12">
        <f>E7</f>
        <v>10000</v>
      </c>
      <c r="F31" s="12">
        <f>F7</f>
        <v>5000</v>
      </c>
      <c r="G31" s="12"/>
      <c r="H31" s="12"/>
    </row>
    <row r="32" spans="2:10" x14ac:dyDescent="0.2">
      <c r="B32" s="5" t="s">
        <v>24</v>
      </c>
      <c r="C32" s="12"/>
      <c r="D32" s="12"/>
      <c r="E32" s="12"/>
      <c r="F32" s="12"/>
      <c r="G32" s="12"/>
      <c r="H32" s="12">
        <f>P15</f>
        <v>548375</v>
      </c>
      <c r="I32" s="20"/>
    </row>
    <row r="33" spans="2:9" x14ac:dyDescent="0.2">
      <c r="B33" s="5" t="s">
        <v>25</v>
      </c>
      <c r="C33" s="12"/>
      <c r="D33" s="12"/>
      <c r="E33" s="12"/>
      <c r="F33" s="12"/>
      <c r="G33" s="12"/>
      <c r="H33" s="12">
        <f>SUM(C31:F31)</f>
        <v>55000</v>
      </c>
    </row>
    <row r="34" spans="2:9" x14ac:dyDescent="0.2">
      <c r="B34" s="6" t="s">
        <v>26</v>
      </c>
      <c r="C34" s="12"/>
      <c r="D34" s="12"/>
      <c r="E34" s="12"/>
      <c r="F34" s="12"/>
      <c r="G34" s="12"/>
      <c r="H34" s="12"/>
    </row>
    <row r="35" spans="2:9" x14ac:dyDescent="0.2">
      <c r="B35" s="5" t="s">
        <v>27</v>
      </c>
      <c r="C35" s="12"/>
      <c r="D35" s="12"/>
      <c r="E35" s="12"/>
      <c r="F35" s="12"/>
      <c r="G35" s="12"/>
      <c r="H35" s="12"/>
    </row>
    <row r="36" spans="2:9" x14ac:dyDescent="0.2">
      <c r="B36" s="5" t="s">
        <v>28</v>
      </c>
      <c r="C36" s="12"/>
      <c r="D36" s="12"/>
      <c r="E36" s="12"/>
      <c r="F36" s="12"/>
      <c r="G36" s="12"/>
      <c r="H36" s="12"/>
    </row>
    <row r="37" spans="2:9" x14ac:dyDescent="0.2">
      <c r="B37" s="8" t="s">
        <v>29</v>
      </c>
      <c r="C37" s="12">
        <f>C26-C29+C34</f>
        <v>-319000</v>
      </c>
      <c r="D37" s="12">
        <f t="shared" ref="D37:G37" si="14">D26-D29+D34</f>
        <v>-117000</v>
      </c>
      <c r="E37" s="12">
        <f>E26-E29+E34</f>
        <v>-435200</v>
      </c>
      <c r="F37" s="12">
        <f t="shared" si="14"/>
        <v>150737.5</v>
      </c>
      <c r="G37" s="12">
        <f t="shared" si="14"/>
        <v>131875</v>
      </c>
      <c r="H37" s="12">
        <f>H26-H29+H34</f>
        <v>735250</v>
      </c>
    </row>
    <row r="38" spans="2:9" x14ac:dyDescent="0.2">
      <c r="B38" s="1"/>
    </row>
    <row r="39" spans="2:9" x14ac:dyDescent="0.2">
      <c r="B39" s="28" t="s">
        <v>36</v>
      </c>
      <c r="C39" s="24">
        <f>NPV(10%,D37:H37)+C37</f>
        <v>-125176.94084482576</v>
      </c>
    </row>
    <row r="40" spans="2:9" x14ac:dyDescent="0.2">
      <c r="B40" s="28" t="s">
        <v>37</v>
      </c>
      <c r="C40" s="25">
        <f>IRR(C37:H37)</f>
        <v>4.616214493099724E-2</v>
      </c>
    </row>
    <row r="41" spans="2:9" x14ac:dyDescent="0.2">
      <c r="B41" s="28"/>
      <c r="D41" s="11" t="s">
        <v>15</v>
      </c>
      <c r="E41" s="42" t="s">
        <v>57</v>
      </c>
      <c r="F41" s="42" t="s">
        <v>58</v>
      </c>
      <c r="H41" s="46" t="s">
        <v>58</v>
      </c>
      <c r="I41" s="46" t="s">
        <v>57</v>
      </c>
    </row>
    <row r="42" spans="2:9" x14ac:dyDescent="0.2">
      <c r="B42" s="1"/>
      <c r="D42" s="11">
        <v>0</v>
      </c>
      <c r="E42" s="26">
        <f>C37</f>
        <v>-319000</v>
      </c>
      <c r="F42" s="26">
        <f>C37</f>
        <v>-319000</v>
      </c>
      <c r="G42" s="11" t="s">
        <v>38</v>
      </c>
      <c r="H42" s="24">
        <f>F46</f>
        <v>-588587.5</v>
      </c>
      <c r="I42" s="20">
        <f>E46</f>
        <v>-581709.34362406936</v>
      </c>
    </row>
    <row r="43" spans="2:9" x14ac:dyDescent="0.2">
      <c r="D43" s="11">
        <v>1</v>
      </c>
      <c r="E43" s="26">
        <f>E42+D37*(1+0.1)^-D43</f>
        <v>-425363.63636363635</v>
      </c>
      <c r="F43" s="26">
        <f>F42+D37</f>
        <v>-436000</v>
      </c>
      <c r="G43" s="11" t="s">
        <v>39</v>
      </c>
      <c r="H43" s="11">
        <v>0</v>
      </c>
      <c r="I43">
        <v>0</v>
      </c>
    </row>
    <row r="44" spans="2:9" x14ac:dyDescent="0.2">
      <c r="B44" s="1"/>
      <c r="D44" s="11">
        <v>2</v>
      </c>
      <c r="E44" s="26">
        <f>E43+E37*(1+0.1)^-D44</f>
        <v>-785033.05785123957</v>
      </c>
      <c r="F44" s="26">
        <f>F43+E37</f>
        <v>-871200</v>
      </c>
      <c r="G44" s="11" t="s">
        <v>40</v>
      </c>
      <c r="H44" s="24">
        <f>F47</f>
        <v>146662.5</v>
      </c>
      <c r="I44" s="20">
        <f>E47</f>
        <v>-125176.9408448257</v>
      </c>
    </row>
    <row r="45" spans="2:9" x14ac:dyDescent="0.2">
      <c r="B45" s="1"/>
      <c r="D45" s="11">
        <v>3</v>
      </c>
      <c r="E45" s="26">
        <f>E44+F37*(1+0.1)^-D45</f>
        <v>-671781.743050338</v>
      </c>
      <c r="F45" s="26">
        <f>F44+F37</f>
        <v>-720462.5</v>
      </c>
    </row>
    <row r="46" spans="2:9" x14ac:dyDescent="0.2">
      <c r="B46" s="1"/>
      <c r="D46" s="11">
        <v>4</v>
      </c>
      <c r="E46" s="26">
        <f>E45+G37*(1+0.1)^-D46</f>
        <v>-581709.34362406936</v>
      </c>
      <c r="F46" s="26">
        <f>F45+G37</f>
        <v>-588587.5</v>
      </c>
      <c r="G46" s="11" t="s">
        <v>41</v>
      </c>
      <c r="H46" s="47">
        <f>((1/(H44-H42))*(H43-H42))+4</f>
        <v>4.8005270316218969</v>
      </c>
      <c r="I46" s="47">
        <f>((1/(I44-I42))*(I43-I42))+4</f>
        <v>5.2741907038422315</v>
      </c>
    </row>
    <row r="47" spans="2:9" x14ac:dyDescent="0.2">
      <c r="B47" s="1"/>
      <c r="D47" s="11">
        <v>5</v>
      </c>
      <c r="E47" s="26">
        <f>E46+H37*(1+0.1)^-D47</f>
        <v>-125176.9408448257</v>
      </c>
      <c r="F47" s="24">
        <f>F46+H37</f>
        <v>146662.5</v>
      </c>
    </row>
    <row r="48" spans="2:9" x14ac:dyDescent="0.2">
      <c r="B48" s="1"/>
    </row>
    <row r="51" spans="2:17" s="11" customFormat="1" x14ac:dyDescent="0.2">
      <c r="B51" s="1"/>
      <c r="I51"/>
      <c r="J51"/>
      <c r="K51"/>
      <c r="L51"/>
      <c r="M51"/>
      <c r="N51"/>
      <c r="O51"/>
      <c r="P51"/>
      <c r="Q51"/>
    </row>
    <row r="52" spans="2:17" s="11" customFormat="1" x14ac:dyDescent="0.2">
      <c r="B52" s="1"/>
      <c r="I52"/>
      <c r="J52"/>
      <c r="K52"/>
      <c r="L52"/>
      <c r="M52"/>
      <c r="N52"/>
      <c r="O52"/>
      <c r="P52"/>
      <c r="Q52"/>
    </row>
    <row r="53" spans="2:17" s="11" customFormat="1" x14ac:dyDescent="0.2">
      <c r="B53" s="1"/>
      <c r="I53"/>
      <c r="J53"/>
      <c r="K53"/>
      <c r="L53"/>
      <c r="M53"/>
      <c r="N53"/>
      <c r="O53"/>
      <c r="P53"/>
      <c r="Q53"/>
    </row>
    <row r="54" spans="2:17" s="11" customFormat="1" x14ac:dyDescent="0.2">
      <c r="B54" s="1"/>
      <c r="I54"/>
      <c r="J54"/>
      <c r="K54"/>
      <c r="L54"/>
      <c r="M54"/>
      <c r="N54"/>
      <c r="O54"/>
      <c r="P54"/>
      <c r="Q54"/>
    </row>
    <row r="55" spans="2:17" x14ac:dyDescent="0.2">
      <c r="B55" s="1"/>
    </row>
    <row r="56" spans="2:17" s="11" customFormat="1" x14ac:dyDescent="0.2">
      <c r="B56"/>
      <c r="I56"/>
      <c r="J56"/>
      <c r="K56"/>
      <c r="L56"/>
      <c r="M56"/>
      <c r="N56"/>
      <c r="O56"/>
      <c r="P56"/>
      <c r="Q56"/>
    </row>
    <row r="57" spans="2:17" s="11" customFormat="1" x14ac:dyDescent="0.2">
      <c r="B57" s="1"/>
      <c r="I57"/>
      <c r="J57"/>
      <c r="K57"/>
      <c r="L57"/>
      <c r="M57"/>
      <c r="N57"/>
      <c r="O57"/>
      <c r="P57"/>
      <c r="Q57"/>
    </row>
    <row r="58" spans="2:17" s="11" customFormat="1" x14ac:dyDescent="0.2">
      <c r="B58" s="1"/>
      <c r="I58"/>
      <c r="J58"/>
      <c r="K58"/>
      <c r="L58"/>
      <c r="M58"/>
      <c r="N58"/>
      <c r="O58"/>
      <c r="P58"/>
      <c r="Q58"/>
    </row>
    <row r="59" spans="2:17" s="11" customFormat="1" x14ac:dyDescent="0.2">
      <c r="B59" s="1"/>
      <c r="I59"/>
      <c r="J59"/>
      <c r="K59"/>
      <c r="L59"/>
      <c r="M59"/>
      <c r="N59"/>
      <c r="O59"/>
      <c r="P59"/>
      <c r="Q59"/>
    </row>
    <row r="60" spans="2:17" s="11" customFormat="1" x14ac:dyDescent="0.2">
      <c r="B60" s="1"/>
      <c r="I60"/>
      <c r="J60"/>
      <c r="K60"/>
      <c r="L60"/>
      <c r="M60"/>
      <c r="N60"/>
      <c r="O60"/>
      <c r="P60"/>
      <c r="Q60"/>
    </row>
    <row r="61" spans="2:17" x14ac:dyDescent="0.2">
      <c r="B61" s="1"/>
    </row>
    <row r="63" spans="2:17" x14ac:dyDescent="0.2">
      <c r="B63" s="1"/>
    </row>
    <row r="64" spans="2:17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</sheetData>
  <mergeCells count="2">
    <mergeCell ref="B10:H10"/>
    <mergeCell ref="B24:H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6"/>
  <sheetViews>
    <sheetView topLeftCell="H10" zoomScale="110" zoomScaleNormal="110" zoomScalePageLayoutView="110" workbookViewId="0">
      <selection activeCell="J16" sqref="J16:O22"/>
    </sheetView>
  </sheetViews>
  <sheetFormatPr baseColWidth="10" defaultColWidth="8.83203125" defaultRowHeight="15" x14ac:dyDescent="0.2"/>
  <cols>
    <col min="2" max="2" width="28.1640625" customWidth="1"/>
    <col min="3" max="3" width="15.5" style="11" customWidth="1"/>
    <col min="4" max="4" width="13.6640625" style="11" customWidth="1"/>
    <col min="5" max="7" width="14.6640625" style="11" bestFit="1" customWidth="1"/>
    <col min="8" max="8" width="15.6640625" style="11" customWidth="1"/>
    <col min="9" max="9" width="13.1640625" bestFit="1" customWidth="1"/>
    <col min="10" max="10" width="14.5" customWidth="1"/>
    <col min="11" max="11" width="13.1640625" bestFit="1" customWidth="1"/>
    <col min="12" max="12" width="13.33203125" bestFit="1" customWidth="1"/>
    <col min="13" max="14" width="12.1640625" bestFit="1" customWidth="1"/>
    <col min="15" max="16" width="13.1640625" bestFit="1" customWidth="1"/>
  </cols>
  <sheetData>
    <row r="2" spans="2:17" x14ac:dyDescent="0.2">
      <c r="B2" s="29" t="s">
        <v>45</v>
      </c>
      <c r="C2" s="30" t="s">
        <v>1</v>
      </c>
      <c r="D2" s="30" t="s">
        <v>2</v>
      </c>
      <c r="E2" s="30" t="s">
        <v>3</v>
      </c>
      <c r="F2" s="30" t="s">
        <v>4</v>
      </c>
      <c r="G2" s="31"/>
      <c r="H2" s="29" t="s">
        <v>8</v>
      </c>
      <c r="I2" s="30" t="s">
        <v>2</v>
      </c>
      <c r="J2" s="30" t="s">
        <v>3</v>
      </c>
      <c r="K2" s="30" t="s">
        <v>4</v>
      </c>
      <c r="L2" s="30" t="s">
        <v>5</v>
      </c>
      <c r="M2" s="30" t="s">
        <v>6</v>
      </c>
      <c r="N2" s="32"/>
    </row>
    <row r="3" spans="2:17" x14ac:dyDescent="0.2">
      <c r="B3" s="33" t="s">
        <v>46</v>
      </c>
      <c r="C3" s="30"/>
      <c r="D3" s="30"/>
      <c r="E3" s="30"/>
      <c r="F3" s="30"/>
      <c r="G3" s="31"/>
      <c r="H3" s="34" t="s">
        <v>16</v>
      </c>
      <c r="I3" s="30">
        <v>104000</v>
      </c>
      <c r="J3" s="30">
        <v>116000</v>
      </c>
      <c r="K3" s="30">
        <v>132000</v>
      </c>
      <c r="L3" s="30">
        <v>132000</v>
      </c>
      <c r="M3" s="30">
        <v>132000</v>
      </c>
      <c r="N3" s="32"/>
    </row>
    <row r="4" spans="2:17" x14ac:dyDescent="0.2">
      <c r="B4" s="35" t="s">
        <v>33</v>
      </c>
      <c r="C4" s="30">
        <v>50000</v>
      </c>
      <c r="D4" s="30"/>
      <c r="E4" s="30"/>
      <c r="F4" s="30"/>
      <c r="G4" s="31"/>
      <c r="H4" s="36" t="s">
        <v>51</v>
      </c>
      <c r="I4" s="30">
        <v>91000</v>
      </c>
      <c r="J4" s="30">
        <v>101500</v>
      </c>
      <c r="K4" s="30">
        <v>115500</v>
      </c>
      <c r="L4" s="30">
        <v>115500</v>
      </c>
      <c r="M4" s="30">
        <v>115500</v>
      </c>
      <c r="N4" s="32"/>
    </row>
    <row r="5" spans="2:17" x14ac:dyDescent="0.2">
      <c r="B5" s="35" t="s">
        <v>42</v>
      </c>
      <c r="C5" s="30">
        <v>300000</v>
      </c>
      <c r="D5" s="30">
        <v>200000</v>
      </c>
      <c r="E5" s="30"/>
      <c r="F5" s="30"/>
      <c r="G5" s="31"/>
      <c r="H5" s="36" t="s">
        <v>50</v>
      </c>
      <c r="I5" s="30">
        <v>65000</v>
      </c>
      <c r="J5" s="30">
        <v>72500</v>
      </c>
      <c r="K5" s="30">
        <v>82500</v>
      </c>
      <c r="L5" s="30">
        <v>82500</v>
      </c>
      <c r="M5" s="30">
        <v>82500</v>
      </c>
      <c r="N5" s="32"/>
    </row>
    <row r="6" spans="2:17" x14ac:dyDescent="0.2">
      <c r="B6" s="33" t="s">
        <v>49</v>
      </c>
      <c r="C6" s="30">
        <v>25000</v>
      </c>
      <c r="D6" s="30">
        <v>15000</v>
      </c>
      <c r="E6" s="30">
        <v>10000</v>
      </c>
      <c r="F6" s="30"/>
      <c r="G6" s="31"/>
      <c r="H6" s="31"/>
      <c r="I6" s="32"/>
      <c r="J6" s="32"/>
      <c r="K6" s="32"/>
      <c r="L6" s="32"/>
      <c r="M6" s="32"/>
      <c r="N6" s="32"/>
    </row>
    <row r="7" spans="2:17" x14ac:dyDescent="0.2">
      <c r="B7" s="32"/>
      <c r="C7" s="31"/>
      <c r="D7" s="31"/>
      <c r="E7" s="31"/>
      <c r="F7" s="31"/>
      <c r="G7" s="31"/>
      <c r="H7" s="30"/>
      <c r="I7" s="30" t="s">
        <v>2</v>
      </c>
      <c r="J7" s="30" t="s">
        <v>3</v>
      </c>
      <c r="K7" s="30" t="s">
        <v>4</v>
      </c>
      <c r="L7" s="30" t="s">
        <v>5</v>
      </c>
      <c r="M7" s="30" t="s">
        <v>6</v>
      </c>
      <c r="N7" s="32"/>
    </row>
    <row r="8" spans="2:17" x14ac:dyDescent="0.2">
      <c r="B8" s="37"/>
      <c r="C8" s="38"/>
      <c r="D8" s="38"/>
      <c r="E8" s="38"/>
      <c r="F8" s="38"/>
      <c r="G8" s="31"/>
      <c r="H8" s="29" t="s">
        <v>7</v>
      </c>
      <c r="I8" s="30">
        <v>350000</v>
      </c>
      <c r="J8" s="30">
        <v>425000</v>
      </c>
      <c r="K8" s="30">
        <v>500000</v>
      </c>
      <c r="L8" s="30">
        <v>500000</v>
      </c>
      <c r="M8" s="30">
        <v>500000</v>
      </c>
      <c r="N8" s="32"/>
    </row>
    <row r="10" spans="2:17" x14ac:dyDescent="0.2">
      <c r="B10" s="49" t="s">
        <v>0</v>
      </c>
      <c r="C10" s="49"/>
      <c r="D10" s="49"/>
      <c r="E10" s="49"/>
      <c r="F10" s="49"/>
      <c r="G10" s="49"/>
      <c r="H10" s="49"/>
      <c r="J10" t="s">
        <v>30</v>
      </c>
    </row>
    <row r="11" spans="2:17" x14ac:dyDescent="0.2">
      <c r="B11" s="2"/>
      <c r="C11" s="10" t="s">
        <v>1</v>
      </c>
      <c r="D11" s="10" t="s">
        <v>2</v>
      </c>
      <c r="E11" s="10" t="s">
        <v>3</v>
      </c>
      <c r="F11" s="10" t="s">
        <v>4</v>
      </c>
      <c r="G11" s="10" t="s">
        <v>5</v>
      </c>
      <c r="H11" s="10" t="s">
        <v>6</v>
      </c>
      <c r="J11" s="17" t="s">
        <v>31</v>
      </c>
      <c r="K11" s="17" t="s">
        <v>2</v>
      </c>
      <c r="L11" s="17" t="s">
        <v>3</v>
      </c>
      <c r="M11" s="17" t="s">
        <v>4</v>
      </c>
      <c r="N11" s="17" t="s">
        <v>5</v>
      </c>
      <c r="O11" s="17" t="s">
        <v>6</v>
      </c>
      <c r="P11" s="18" t="s">
        <v>34</v>
      </c>
    </row>
    <row r="12" spans="2:17" x14ac:dyDescent="0.2">
      <c r="B12" s="3" t="s">
        <v>7</v>
      </c>
      <c r="C12" s="12"/>
      <c r="D12" s="12">
        <f>I8</f>
        <v>350000</v>
      </c>
      <c r="E12" s="12">
        <f t="shared" ref="E12:H12" si="0">J8</f>
        <v>425000</v>
      </c>
      <c r="F12" s="12">
        <f t="shared" si="0"/>
        <v>500000</v>
      </c>
      <c r="G12" s="12">
        <f t="shared" si="0"/>
        <v>500000</v>
      </c>
      <c r="H12" s="12">
        <f t="shared" si="0"/>
        <v>500000</v>
      </c>
      <c r="J12" s="15" t="s">
        <v>42</v>
      </c>
      <c r="K12" s="13">
        <f>($C$5/10)+($D$5/10)</f>
        <v>50000</v>
      </c>
      <c r="L12" s="13">
        <f>($C$5/10)+($D$5/10)</f>
        <v>50000</v>
      </c>
      <c r="M12" s="13">
        <f t="shared" ref="M12:O12" si="1">($C$5/10)+($D$5/10)</f>
        <v>50000</v>
      </c>
      <c r="N12" s="13">
        <f t="shared" si="1"/>
        <v>50000</v>
      </c>
      <c r="O12" s="13">
        <f t="shared" si="1"/>
        <v>50000</v>
      </c>
      <c r="P12" s="19">
        <f>SUM(C5:D5)-SUM(K12:O12)</f>
        <v>250000</v>
      </c>
    </row>
    <row r="13" spans="2:17" x14ac:dyDescent="0.2">
      <c r="B13" s="3" t="s">
        <v>8</v>
      </c>
      <c r="C13" s="12"/>
      <c r="D13" s="12">
        <f>SUM(D14:D18)</f>
        <v>332000</v>
      </c>
      <c r="E13" s="12">
        <f t="shared" ref="E13:H13" si="2">SUM(E14:E18)</f>
        <v>359954.52254519798</v>
      </c>
      <c r="F13" s="12">
        <f t="shared" si="2"/>
        <v>397745.40689401177</v>
      </c>
      <c r="G13" s="12">
        <f>SUM(G14:G18)</f>
        <v>395359.56199073064</v>
      </c>
      <c r="H13" s="12">
        <f t="shared" si="2"/>
        <v>392782.84949518705</v>
      </c>
      <c r="J13" s="15" t="s">
        <v>33</v>
      </c>
      <c r="K13" s="13">
        <f>$C$4/5</f>
        <v>10000</v>
      </c>
      <c r="L13" s="13">
        <f t="shared" ref="L13:O13" si="3">$C$4/5</f>
        <v>10000</v>
      </c>
      <c r="M13" s="13">
        <f t="shared" si="3"/>
        <v>10000</v>
      </c>
      <c r="N13" s="13">
        <f t="shared" si="3"/>
        <v>10000</v>
      </c>
      <c r="O13" s="13">
        <f t="shared" si="3"/>
        <v>10000</v>
      </c>
      <c r="P13" s="19">
        <f>C4-SUM(K13:O13)</f>
        <v>0</v>
      </c>
    </row>
    <row r="14" spans="2:17" x14ac:dyDescent="0.2">
      <c r="B14" s="4" t="s">
        <v>16</v>
      </c>
      <c r="C14" s="12"/>
      <c r="D14" s="12">
        <f>I3</f>
        <v>104000</v>
      </c>
      <c r="E14" s="12">
        <f t="shared" ref="E14:H16" si="4">J3</f>
        <v>116000</v>
      </c>
      <c r="F14" s="12">
        <f t="shared" si="4"/>
        <v>132000</v>
      </c>
      <c r="G14" s="12">
        <f t="shared" si="4"/>
        <v>132000</v>
      </c>
      <c r="H14" s="12">
        <f t="shared" si="4"/>
        <v>132000</v>
      </c>
      <c r="J14" s="6" t="s">
        <v>35</v>
      </c>
      <c r="K14" s="21">
        <f t="shared" ref="K14:P14" si="5">SUM(K12:K13)</f>
        <v>60000</v>
      </c>
      <c r="L14" s="21">
        <f t="shared" si="5"/>
        <v>60000</v>
      </c>
      <c r="M14" s="21">
        <f t="shared" si="5"/>
        <v>60000</v>
      </c>
      <c r="N14" s="21">
        <f t="shared" si="5"/>
        <v>60000</v>
      </c>
      <c r="O14" s="21">
        <f t="shared" si="5"/>
        <v>60000</v>
      </c>
      <c r="P14" s="22">
        <f t="shared" si="5"/>
        <v>250000</v>
      </c>
    </row>
    <row r="15" spans="2:17" x14ac:dyDescent="0.2">
      <c r="B15" s="4" t="s">
        <v>17</v>
      </c>
      <c r="C15" s="12"/>
      <c r="D15" s="12">
        <f>I4</f>
        <v>91000</v>
      </c>
      <c r="E15" s="12">
        <f t="shared" si="4"/>
        <v>101500</v>
      </c>
      <c r="F15" s="12">
        <f t="shared" si="4"/>
        <v>115500</v>
      </c>
      <c r="G15" s="12">
        <f t="shared" si="4"/>
        <v>115500</v>
      </c>
      <c r="H15" s="12">
        <f t="shared" si="4"/>
        <v>115500</v>
      </c>
      <c r="Q15" s="20"/>
    </row>
    <row r="16" spans="2:17" x14ac:dyDescent="0.2">
      <c r="B16" s="4" t="s">
        <v>9</v>
      </c>
      <c r="C16" s="12"/>
      <c r="D16" s="12">
        <f>I5</f>
        <v>65000</v>
      </c>
      <c r="E16" s="12">
        <f t="shared" si="4"/>
        <v>72500</v>
      </c>
      <c r="F16" s="12">
        <f t="shared" si="4"/>
        <v>82500</v>
      </c>
      <c r="G16" s="12">
        <f t="shared" si="4"/>
        <v>82500</v>
      </c>
      <c r="H16" s="12">
        <f t="shared" si="4"/>
        <v>82500</v>
      </c>
      <c r="J16" s="1" t="s">
        <v>53</v>
      </c>
    </row>
    <row r="17" spans="2:15" x14ac:dyDescent="0.2">
      <c r="B17" s="4" t="s">
        <v>10</v>
      </c>
      <c r="C17" s="12"/>
      <c r="D17" s="12">
        <f>K14</f>
        <v>60000</v>
      </c>
      <c r="E17" s="12">
        <f>L14</f>
        <v>60000</v>
      </c>
      <c r="F17" s="12">
        <f>M14</f>
        <v>60000</v>
      </c>
      <c r="G17" s="12">
        <f>N14</f>
        <v>60000</v>
      </c>
      <c r="H17" s="12">
        <f>O14</f>
        <v>60000</v>
      </c>
      <c r="J17" s="14" t="s">
        <v>15</v>
      </c>
      <c r="K17" s="9" t="s">
        <v>54</v>
      </c>
      <c r="L17" s="9" t="s">
        <v>55</v>
      </c>
      <c r="M17" s="9" t="s">
        <v>43</v>
      </c>
      <c r="N17" s="9" t="s">
        <v>44</v>
      </c>
      <c r="O17" s="9" t="s">
        <v>56</v>
      </c>
    </row>
    <row r="18" spans="2:15" x14ac:dyDescent="0.2">
      <c r="B18" s="5" t="s">
        <v>11</v>
      </c>
      <c r="C18" s="12"/>
      <c r="D18" s="12">
        <f>M18</f>
        <v>12000</v>
      </c>
      <c r="E18" s="12">
        <f>M19</f>
        <v>9954.5225451979622</v>
      </c>
      <c r="F18" s="12">
        <f>M20</f>
        <v>7745.4068940117622</v>
      </c>
      <c r="G18" s="12">
        <f>M21</f>
        <v>5359.5619907306645</v>
      </c>
      <c r="H18" s="12">
        <f>M22</f>
        <v>2782.8494951870807</v>
      </c>
      <c r="J18" s="9">
        <v>1</v>
      </c>
      <c r="K18" s="13">
        <f>0.4*(C4+C5+C6)</f>
        <v>150000</v>
      </c>
      <c r="L18" s="13">
        <f>$K$18*((0.08*1.08^5)/(1.08^5-1))</f>
        <v>37568.468185025471</v>
      </c>
      <c r="M18" s="13">
        <f>0.08*K18</f>
        <v>12000</v>
      </c>
      <c r="N18" s="13">
        <f>L18-M18</f>
        <v>25568.468185025471</v>
      </c>
      <c r="O18" s="13">
        <f>K18-N18</f>
        <v>124431.53181497453</v>
      </c>
    </row>
    <row r="19" spans="2:15" x14ac:dyDescent="0.2">
      <c r="B19" s="6" t="s">
        <v>12</v>
      </c>
      <c r="C19" s="12"/>
      <c r="D19" s="12">
        <f>D12-D13</f>
        <v>18000</v>
      </c>
      <c r="E19" s="12">
        <f t="shared" ref="E19:H19" si="6">E12-E13</f>
        <v>65045.477454802021</v>
      </c>
      <c r="F19" s="12">
        <f t="shared" si="6"/>
        <v>102254.59310598823</v>
      </c>
      <c r="G19" s="12">
        <f t="shared" si="6"/>
        <v>104640.43800926936</v>
      </c>
      <c r="H19" s="12">
        <f t="shared" si="6"/>
        <v>107217.15050481295</v>
      </c>
      <c r="J19" s="14">
        <v>2</v>
      </c>
      <c r="K19" s="13">
        <f>O18</f>
        <v>124431.53181497453</v>
      </c>
      <c r="L19" s="13">
        <f t="shared" ref="L19:L22" si="7">$K$18*((0.08*1.08^5)/(1.08^5-1))</f>
        <v>37568.468185025471</v>
      </c>
      <c r="M19" s="13">
        <f>0.08*K19</f>
        <v>9954.5225451979622</v>
      </c>
      <c r="N19" s="13">
        <f>L19-M19</f>
        <v>27613.945639827507</v>
      </c>
      <c r="O19" s="13">
        <f>K19-N19</f>
        <v>96817.586175147022</v>
      </c>
    </row>
    <row r="20" spans="2:15" x14ac:dyDescent="0.2">
      <c r="B20" s="7" t="s">
        <v>13</v>
      </c>
      <c r="C20" s="12"/>
      <c r="D20" s="12">
        <f>0.25*D19</f>
        <v>4500</v>
      </c>
      <c r="E20" s="12">
        <f t="shared" ref="E20:H20" si="8">0.25*E19</f>
        <v>16261.369363700505</v>
      </c>
      <c r="F20" s="12">
        <f t="shared" si="8"/>
        <v>25563.648276497057</v>
      </c>
      <c r="G20" s="12">
        <f t="shared" si="8"/>
        <v>26160.10950231734</v>
      </c>
      <c r="H20" s="12">
        <f t="shared" si="8"/>
        <v>26804.287626203237</v>
      </c>
      <c r="J20" s="9">
        <v>3</v>
      </c>
      <c r="K20" s="13">
        <f>O19</f>
        <v>96817.586175147022</v>
      </c>
      <c r="L20" s="13">
        <f t="shared" si="7"/>
        <v>37568.468185025471</v>
      </c>
      <c r="M20" s="13">
        <f>0.08*K20</f>
        <v>7745.4068940117622</v>
      </c>
      <c r="N20" s="13">
        <f>L20-M20</f>
        <v>29823.06129101371</v>
      </c>
      <c r="O20" s="13">
        <f>K20-N20</f>
        <v>66994.524884133309</v>
      </c>
    </row>
    <row r="21" spans="2:15" x14ac:dyDescent="0.2">
      <c r="B21" s="6" t="s">
        <v>18</v>
      </c>
      <c r="C21" s="12"/>
      <c r="D21" s="12">
        <f>D19-D20</f>
        <v>13500</v>
      </c>
      <c r="E21" s="12">
        <f t="shared" ref="E21:H21" si="9">E19-E20</f>
        <v>48784.108091101516</v>
      </c>
      <c r="F21" s="12">
        <f t="shared" si="9"/>
        <v>76690.944829491171</v>
      </c>
      <c r="G21" s="12">
        <f t="shared" si="9"/>
        <v>78480.328506952021</v>
      </c>
      <c r="H21" s="12">
        <f t="shared" si="9"/>
        <v>80412.862878609711</v>
      </c>
      <c r="J21" s="14">
        <v>4</v>
      </c>
      <c r="K21" s="13">
        <f>O20</f>
        <v>66994.524884133309</v>
      </c>
      <c r="L21" s="13">
        <f>$K$18*((0.08*1.08^5)/(1.08^5-1))</f>
        <v>37568.468185025471</v>
      </c>
      <c r="M21" s="13">
        <f>0.08*K21</f>
        <v>5359.5619907306645</v>
      </c>
      <c r="N21" s="13">
        <f>L21-M21</f>
        <v>32208.906194294806</v>
      </c>
      <c r="O21" s="13">
        <f t="shared" ref="O21" si="10">K21-N21</f>
        <v>34785.618689838506</v>
      </c>
    </row>
    <row r="22" spans="2:15" x14ac:dyDescent="0.2">
      <c r="B22" s="1"/>
      <c r="J22" s="9">
        <v>5</v>
      </c>
      <c r="K22" s="13">
        <f t="shared" ref="K22" si="11">O21</f>
        <v>34785.618689838506</v>
      </c>
      <c r="L22" s="13">
        <f t="shared" si="7"/>
        <v>37568.468185025471</v>
      </c>
      <c r="M22" s="13">
        <f t="shared" ref="M22" si="12">0.08*K22</f>
        <v>2782.8494951870807</v>
      </c>
      <c r="N22" s="13">
        <f t="shared" ref="N22" si="13">L22-M22</f>
        <v>34785.618689838389</v>
      </c>
      <c r="O22" s="13">
        <f>K22-N22</f>
        <v>1.1641532182693481E-10</v>
      </c>
    </row>
    <row r="23" spans="2:15" x14ac:dyDescent="0.2">
      <c r="B23" s="49" t="s">
        <v>19</v>
      </c>
      <c r="C23" s="49"/>
      <c r="D23" s="49"/>
      <c r="E23" s="49"/>
      <c r="F23" s="49"/>
      <c r="G23" s="49"/>
      <c r="H23" s="49"/>
      <c r="J23" s="1"/>
    </row>
    <row r="24" spans="2:15" x14ac:dyDescent="0.2">
      <c r="B24" s="2"/>
      <c r="C24" s="10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J24" s="1"/>
    </row>
    <row r="25" spans="2:15" x14ac:dyDescent="0.2">
      <c r="B25" s="6" t="s">
        <v>20</v>
      </c>
      <c r="C25" s="12"/>
      <c r="D25" s="23">
        <f>D26+D27</f>
        <v>73500</v>
      </c>
      <c r="E25" s="23">
        <f t="shared" ref="E25:H25" si="14">E26+E27</f>
        <v>108784.10809110152</v>
      </c>
      <c r="F25" s="23">
        <f t="shared" si="14"/>
        <v>136690.94482949117</v>
      </c>
      <c r="G25" s="23">
        <f t="shared" si="14"/>
        <v>138480.32850695204</v>
      </c>
      <c r="H25" s="23">
        <f t="shared" si="14"/>
        <v>140412.86287860971</v>
      </c>
    </row>
    <row r="26" spans="2:15" x14ac:dyDescent="0.2">
      <c r="B26" s="5" t="s">
        <v>14</v>
      </c>
      <c r="C26" s="12"/>
      <c r="D26" s="12">
        <f>D21</f>
        <v>13500</v>
      </c>
      <c r="E26" s="12">
        <f t="shared" ref="E26:H26" si="15">E21</f>
        <v>48784.108091101516</v>
      </c>
      <c r="F26" s="12">
        <f t="shared" si="15"/>
        <v>76690.944829491171</v>
      </c>
      <c r="G26" s="12">
        <f t="shared" si="15"/>
        <v>78480.328506952021</v>
      </c>
      <c r="H26" s="12">
        <f t="shared" si="15"/>
        <v>80412.862878609711</v>
      </c>
      <c r="L26" s="39"/>
      <c r="M26" s="40"/>
    </row>
    <row r="27" spans="2:15" x14ac:dyDescent="0.2">
      <c r="B27" s="5" t="s">
        <v>10</v>
      </c>
      <c r="C27" s="12"/>
      <c r="D27" s="12">
        <f>D17</f>
        <v>60000</v>
      </c>
      <c r="E27" s="12">
        <f t="shared" ref="E27:H27" si="16">E17</f>
        <v>60000</v>
      </c>
      <c r="F27" s="12">
        <f t="shared" si="16"/>
        <v>60000</v>
      </c>
      <c r="G27" s="12">
        <f t="shared" si="16"/>
        <v>60000</v>
      </c>
      <c r="H27" s="12">
        <f t="shared" si="16"/>
        <v>60000</v>
      </c>
      <c r="L27" s="40"/>
      <c r="M27" s="41"/>
    </row>
    <row r="28" spans="2:15" x14ac:dyDescent="0.2">
      <c r="B28" s="6" t="s">
        <v>21</v>
      </c>
      <c r="C28" s="23">
        <f>SUM(C29:C30)-SUM(C31:C32)</f>
        <v>375000</v>
      </c>
      <c r="D28" s="23">
        <f t="shared" ref="D28:H28" si="17">SUM(D29:D30)-SUM(D31:D32)</f>
        <v>215000</v>
      </c>
      <c r="E28" s="23">
        <f t="shared" si="17"/>
        <v>10000</v>
      </c>
      <c r="F28" s="23">
        <f t="shared" si="17"/>
        <v>0</v>
      </c>
      <c r="G28" s="23">
        <f t="shared" si="17"/>
        <v>0</v>
      </c>
      <c r="H28" s="23">
        <f t="shared" si="17"/>
        <v>-300000</v>
      </c>
      <c r="L28" s="40"/>
      <c r="M28" s="40"/>
    </row>
    <row r="29" spans="2:15" x14ac:dyDescent="0.2">
      <c r="B29" s="5" t="s">
        <v>22</v>
      </c>
      <c r="C29" s="12">
        <f>C4+C5</f>
        <v>350000</v>
      </c>
      <c r="D29" s="12">
        <f>D5</f>
        <v>200000</v>
      </c>
      <c r="E29" s="12">
        <f>E5</f>
        <v>0</v>
      </c>
      <c r="F29" s="12"/>
      <c r="G29" s="12"/>
      <c r="H29" s="12"/>
    </row>
    <row r="30" spans="2:15" x14ac:dyDescent="0.2">
      <c r="B30" s="4" t="s">
        <v>23</v>
      </c>
      <c r="C30" s="12">
        <f>C6</f>
        <v>25000</v>
      </c>
      <c r="D30" s="12">
        <f>D6</f>
        <v>15000</v>
      </c>
      <c r="E30" s="12">
        <f>E6</f>
        <v>10000</v>
      </c>
      <c r="F30" s="12"/>
      <c r="G30" s="12"/>
      <c r="H30" s="12"/>
    </row>
    <row r="31" spans="2:15" x14ac:dyDescent="0.2">
      <c r="B31" s="5" t="s">
        <v>24</v>
      </c>
      <c r="C31" s="12"/>
      <c r="D31" s="12"/>
      <c r="E31" s="12"/>
      <c r="F31" s="12"/>
      <c r="G31" s="12"/>
      <c r="H31" s="12">
        <f>P14</f>
        <v>250000</v>
      </c>
      <c r="I31" s="20"/>
    </row>
    <row r="32" spans="2:15" x14ac:dyDescent="0.2">
      <c r="B32" s="5" t="s">
        <v>25</v>
      </c>
      <c r="C32" s="12"/>
      <c r="D32" s="12"/>
      <c r="E32" s="12"/>
      <c r="F32" s="12"/>
      <c r="G32" s="12"/>
      <c r="H32" s="12">
        <f>SUM(C30:F30)</f>
        <v>50000</v>
      </c>
    </row>
    <row r="33" spans="2:9" x14ac:dyDescent="0.2">
      <c r="B33" s="6" t="s">
        <v>26</v>
      </c>
      <c r="C33" s="23">
        <f>C34-C35</f>
        <v>150000</v>
      </c>
      <c r="D33" s="23">
        <f t="shared" ref="D33:H33" si="18">D34-D35</f>
        <v>-25568.468185025471</v>
      </c>
      <c r="E33" s="23">
        <f t="shared" si="18"/>
        <v>-27613.945639827507</v>
      </c>
      <c r="F33" s="23">
        <f t="shared" si="18"/>
        <v>-29823.06129101371</v>
      </c>
      <c r="G33" s="23">
        <f t="shared" si="18"/>
        <v>-32208.906194294806</v>
      </c>
      <c r="H33" s="23">
        <f t="shared" si="18"/>
        <v>-34785.618689838389</v>
      </c>
    </row>
    <row r="34" spans="2:9" x14ac:dyDescent="0.2">
      <c r="B34" s="5" t="s">
        <v>27</v>
      </c>
      <c r="C34" s="12">
        <f>K18</f>
        <v>150000</v>
      </c>
      <c r="D34" s="12"/>
      <c r="E34" s="12"/>
      <c r="F34" s="12"/>
      <c r="G34" s="12"/>
      <c r="H34" s="12"/>
    </row>
    <row r="35" spans="2:9" x14ac:dyDescent="0.2">
      <c r="B35" s="5" t="s">
        <v>28</v>
      </c>
      <c r="C35" s="12"/>
      <c r="D35" s="12">
        <f>N18</f>
        <v>25568.468185025471</v>
      </c>
      <c r="E35" s="12">
        <f>N19</f>
        <v>27613.945639827507</v>
      </c>
      <c r="F35" s="12">
        <f>N20</f>
        <v>29823.06129101371</v>
      </c>
      <c r="G35" s="12">
        <f>N21</f>
        <v>32208.906194294806</v>
      </c>
      <c r="H35" s="12">
        <f>N22</f>
        <v>34785.618689838389</v>
      </c>
    </row>
    <row r="36" spans="2:9" x14ac:dyDescent="0.2">
      <c r="B36" s="8" t="s">
        <v>29</v>
      </c>
      <c r="C36" s="12">
        <f>C25-C28+C33</f>
        <v>-225000</v>
      </c>
      <c r="D36" s="12">
        <f t="shared" ref="D36:H36" si="19">D25-D28+D33</f>
        <v>-167068.46818502547</v>
      </c>
      <c r="E36" s="12">
        <f t="shared" si="19"/>
        <v>71170.162451274009</v>
      </c>
      <c r="F36" s="12">
        <f t="shared" si="19"/>
        <v>106867.88353847746</v>
      </c>
      <c r="G36" s="12">
        <f t="shared" si="19"/>
        <v>106271.42231265723</v>
      </c>
      <c r="H36" s="12">
        <f t="shared" si="19"/>
        <v>405627.24418877129</v>
      </c>
    </row>
    <row r="37" spans="2:9" x14ac:dyDescent="0.2">
      <c r="B37" s="1"/>
    </row>
    <row r="38" spans="2:9" x14ac:dyDescent="0.2">
      <c r="B38" s="28" t="s">
        <v>36</v>
      </c>
      <c r="C38" s="24">
        <f>NPV(14%,D36:H36)+C36</f>
        <v>28935.91174755423</v>
      </c>
    </row>
    <row r="39" spans="2:9" x14ac:dyDescent="0.2">
      <c r="B39" s="28" t="s">
        <v>37</v>
      </c>
      <c r="C39" s="25">
        <f>IRR(C36:H36)</f>
        <v>0.16355050140179705</v>
      </c>
    </row>
    <row r="40" spans="2:9" x14ac:dyDescent="0.2">
      <c r="B40" s="28"/>
      <c r="D40" s="11" t="s">
        <v>15</v>
      </c>
      <c r="E40" s="42" t="s">
        <v>57</v>
      </c>
      <c r="F40" s="42" t="s">
        <v>58</v>
      </c>
      <c r="H40" s="46" t="s">
        <v>58</v>
      </c>
      <c r="I40" s="46" t="s">
        <v>57</v>
      </c>
    </row>
    <row r="41" spans="2:9" x14ac:dyDescent="0.2">
      <c r="B41" s="1"/>
      <c r="D41" s="11">
        <v>0</v>
      </c>
      <c r="E41" s="26">
        <f>C36</f>
        <v>-225000</v>
      </c>
      <c r="F41" s="26">
        <f>C36</f>
        <v>-225000</v>
      </c>
      <c r="G41" s="11" t="s">
        <v>38</v>
      </c>
      <c r="H41" s="24">
        <f>F45</f>
        <v>-107758.9998826168</v>
      </c>
      <c r="I41" s="20">
        <f>E45</f>
        <v>-181734.16829472058</v>
      </c>
    </row>
    <row r="42" spans="2:9" x14ac:dyDescent="0.2">
      <c r="D42" s="11">
        <v>1</v>
      </c>
      <c r="E42" s="26">
        <f>E41+D36*(1+0.14)^-D42</f>
        <v>-371551.28788160125</v>
      </c>
      <c r="F42" s="26">
        <f>F41+D36</f>
        <v>-392068.4681850255</v>
      </c>
      <c r="G42" s="11" t="s">
        <v>39</v>
      </c>
      <c r="H42" s="11">
        <v>0</v>
      </c>
      <c r="I42">
        <v>0</v>
      </c>
    </row>
    <row r="43" spans="2:9" x14ac:dyDescent="0.2">
      <c r="B43" s="1"/>
      <c r="D43" s="11">
        <v>2</v>
      </c>
      <c r="E43" s="26">
        <f>E42+E36*(1+0.14)^-D43</f>
        <v>-316788.15887938981</v>
      </c>
      <c r="F43" s="26">
        <f>F42+E36</f>
        <v>-320898.30573375151</v>
      </c>
      <c r="G43" s="11" t="s">
        <v>40</v>
      </c>
      <c r="H43" s="24">
        <f>F46</f>
        <v>297868.24430615449</v>
      </c>
      <c r="I43" s="20">
        <f>E46</f>
        <v>28935.911747554172</v>
      </c>
    </row>
    <row r="44" spans="2:9" x14ac:dyDescent="0.2">
      <c r="B44" s="1"/>
      <c r="D44" s="11">
        <v>3</v>
      </c>
      <c r="E44" s="26">
        <f>E43+F36*(1+0.14)^-D44</f>
        <v>-244655.3814941232</v>
      </c>
      <c r="F44" s="26">
        <f>F43+F36</f>
        <v>-214030.42219527403</v>
      </c>
    </row>
    <row r="45" spans="2:9" x14ac:dyDescent="0.2">
      <c r="B45" s="1"/>
      <c r="D45" s="11">
        <v>4</v>
      </c>
      <c r="E45" s="26">
        <f>E44+G36*(1+0.14)^-D45</f>
        <v>-181734.16829472058</v>
      </c>
      <c r="F45" s="26">
        <f>F44+G36</f>
        <v>-107758.9998826168</v>
      </c>
      <c r="G45" s="11" t="s">
        <v>41</v>
      </c>
      <c r="H45" s="47">
        <f>((1/(H43-H41))*(H42-H41))+4</f>
        <v>4.2656601631828943</v>
      </c>
      <c r="I45" s="47">
        <f>((1/(I43-I41))*(I42-I41))+4</f>
        <v>4.8626482140143121</v>
      </c>
    </row>
    <row r="46" spans="2:9" x14ac:dyDescent="0.2">
      <c r="B46" s="1"/>
      <c r="D46" s="11">
        <v>5</v>
      </c>
      <c r="E46" s="27">
        <f>E45+H36*(1+0.14)^-D46</f>
        <v>28935.911747554172</v>
      </c>
      <c r="F46" s="24">
        <f>F45+H36</f>
        <v>297868.24430615449</v>
      </c>
    </row>
    <row r="47" spans="2:9" x14ac:dyDescent="0.2">
      <c r="B47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</sheetData>
  <mergeCells count="2">
    <mergeCell ref="B10:H10"/>
    <mergeCell ref="B23:H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7"/>
  <sheetViews>
    <sheetView tabSelected="1" topLeftCell="C27" workbookViewId="0">
      <selection activeCell="H47" sqref="H47"/>
    </sheetView>
  </sheetViews>
  <sheetFormatPr baseColWidth="10" defaultColWidth="8.83203125" defaultRowHeight="15" x14ac:dyDescent="0.2"/>
  <cols>
    <col min="2" max="2" width="28.1640625" customWidth="1"/>
    <col min="3" max="3" width="15.5" style="11" customWidth="1"/>
    <col min="4" max="4" width="13.1640625" style="11" bestFit="1" customWidth="1"/>
    <col min="5" max="7" width="14.6640625" style="11" bestFit="1" customWidth="1"/>
    <col min="8" max="8" width="15.6640625" style="11" customWidth="1"/>
    <col min="9" max="9" width="13.1640625" bestFit="1" customWidth="1"/>
    <col min="10" max="10" width="14.5" customWidth="1"/>
    <col min="11" max="12" width="13.1640625" bestFit="1" customWidth="1"/>
    <col min="13" max="15" width="12" bestFit="1" customWidth="1"/>
    <col min="16" max="16" width="13.1640625" bestFit="1" customWidth="1"/>
  </cols>
  <sheetData>
    <row r="2" spans="2:17" x14ac:dyDescent="0.2">
      <c r="B2" s="29" t="s">
        <v>45</v>
      </c>
      <c r="C2" s="30" t="s">
        <v>1</v>
      </c>
      <c r="D2" s="30" t="s">
        <v>2</v>
      </c>
      <c r="E2" s="30" t="s">
        <v>3</v>
      </c>
      <c r="F2" s="30" t="s">
        <v>4</v>
      </c>
      <c r="G2" s="31"/>
      <c r="H2" s="29" t="s">
        <v>8</v>
      </c>
      <c r="I2" s="30" t="s">
        <v>2</v>
      </c>
      <c r="J2" s="30" t="s">
        <v>3</v>
      </c>
      <c r="K2" s="30" t="s">
        <v>4</v>
      </c>
      <c r="L2" s="30" t="s">
        <v>5</v>
      </c>
      <c r="M2" s="30" t="s">
        <v>6</v>
      </c>
      <c r="N2" s="32"/>
    </row>
    <row r="3" spans="2:17" x14ac:dyDescent="0.2">
      <c r="B3" s="33" t="s">
        <v>46</v>
      </c>
      <c r="C3" s="30"/>
      <c r="D3" s="30"/>
      <c r="E3" s="30"/>
      <c r="F3" s="30"/>
      <c r="G3" s="31"/>
      <c r="H3" s="34" t="s">
        <v>16</v>
      </c>
      <c r="I3" s="30">
        <v>50000</v>
      </c>
      <c r="J3" s="30">
        <v>55000</v>
      </c>
      <c r="K3" s="30">
        <v>100000</v>
      </c>
      <c r="L3" s="30">
        <v>100000</v>
      </c>
      <c r="M3" s="30">
        <v>100000</v>
      </c>
      <c r="N3" s="32"/>
    </row>
    <row r="4" spans="2:17" x14ac:dyDescent="0.2">
      <c r="B4" s="35" t="s">
        <v>33</v>
      </c>
      <c r="C4" s="30">
        <v>0</v>
      </c>
      <c r="D4" s="30"/>
      <c r="E4" s="30"/>
      <c r="F4" s="30"/>
      <c r="G4" s="31"/>
      <c r="H4" s="36" t="s">
        <v>51</v>
      </c>
      <c r="I4" s="30">
        <f>0.3*I8</f>
        <v>60000</v>
      </c>
      <c r="J4" s="30">
        <f t="shared" ref="J4:M4" si="0">0.3*J8</f>
        <v>75000</v>
      </c>
      <c r="K4" s="30">
        <f t="shared" si="0"/>
        <v>105000</v>
      </c>
      <c r="L4" s="30">
        <f t="shared" si="0"/>
        <v>105000</v>
      </c>
      <c r="M4" s="30">
        <f t="shared" si="0"/>
        <v>105000</v>
      </c>
      <c r="N4" s="32"/>
    </row>
    <row r="5" spans="2:17" x14ac:dyDescent="0.2">
      <c r="B5" s="35" t="s">
        <v>47</v>
      </c>
      <c r="C5" s="30">
        <v>75000</v>
      </c>
      <c r="D5" s="30">
        <v>51000</v>
      </c>
      <c r="E5" s="30"/>
      <c r="F5" s="30"/>
      <c r="G5" s="31"/>
      <c r="H5" s="36" t="s">
        <v>50</v>
      </c>
      <c r="I5" s="30">
        <v>20000</v>
      </c>
      <c r="J5" s="30">
        <v>25000</v>
      </c>
      <c r="K5" s="30">
        <v>40000</v>
      </c>
      <c r="L5" s="30">
        <v>40000</v>
      </c>
      <c r="M5" s="30">
        <v>40000</v>
      </c>
      <c r="N5" s="32"/>
    </row>
    <row r="6" spans="2:17" x14ac:dyDescent="0.2">
      <c r="B6" s="35" t="s">
        <v>48</v>
      </c>
      <c r="C6" s="30">
        <v>90000</v>
      </c>
      <c r="D6" s="30"/>
      <c r="E6" s="30"/>
      <c r="F6" s="30"/>
      <c r="G6" s="31"/>
      <c r="H6" s="31"/>
      <c r="I6" s="32"/>
      <c r="J6" s="32"/>
      <c r="K6" s="32"/>
      <c r="L6" s="32"/>
      <c r="M6" s="32"/>
      <c r="N6" s="32"/>
    </row>
    <row r="7" spans="2:17" x14ac:dyDescent="0.2">
      <c r="B7" s="33" t="s">
        <v>49</v>
      </c>
      <c r="C7" s="30">
        <v>20000</v>
      </c>
      <c r="D7" s="30">
        <v>20000</v>
      </c>
      <c r="E7" s="30">
        <v>10000</v>
      </c>
      <c r="F7" s="30">
        <v>5000</v>
      </c>
      <c r="G7" s="31"/>
      <c r="H7" s="30"/>
      <c r="I7" s="30" t="s">
        <v>2</v>
      </c>
      <c r="J7" s="30" t="s">
        <v>3</v>
      </c>
      <c r="K7" s="30" t="s">
        <v>4</v>
      </c>
      <c r="L7" s="30" t="s">
        <v>5</v>
      </c>
      <c r="M7" s="30" t="s">
        <v>6</v>
      </c>
      <c r="N7" s="32"/>
    </row>
    <row r="8" spans="2:17" x14ac:dyDescent="0.2">
      <c r="B8" s="37"/>
      <c r="C8" s="38"/>
      <c r="D8" s="38"/>
      <c r="E8" s="38"/>
      <c r="F8" s="38"/>
      <c r="G8" s="31"/>
      <c r="H8" s="29" t="s">
        <v>7</v>
      </c>
      <c r="I8" s="30">
        <v>200000</v>
      </c>
      <c r="J8" s="30">
        <v>250000</v>
      </c>
      <c r="K8" s="30">
        <v>350000</v>
      </c>
      <c r="L8" s="30">
        <v>350000</v>
      </c>
      <c r="M8" s="30">
        <v>350000</v>
      </c>
      <c r="N8" s="32"/>
    </row>
    <row r="10" spans="2:17" x14ac:dyDescent="0.2">
      <c r="B10" s="49" t="s">
        <v>0</v>
      </c>
      <c r="C10" s="49"/>
      <c r="D10" s="49"/>
      <c r="E10" s="49"/>
      <c r="F10" s="49"/>
      <c r="G10" s="49"/>
      <c r="H10" s="49"/>
      <c r="J10" t="s">
        <v>30</v>
      </c>
    </row>
    <row r="11" spans="2:17" x14ac:dyDescent="0.2">
      <c r="B11" s="2"/>
      <c r="C11" s="10" t="s">
        <v>1</v>
      </c>
      <c r="D11" s="10" t="s">
        <v>2</v>
      </c>
      <c r="E11" s="10" t="s">
        <v>3</v>
      </c>
      <c r="F11" s="10" t="s">
        <v>4</v>
      </c>
      <c r="G11" s="10" t="s">
        <v>5</v>
      </c>
      <c r="H11" s="10" t="s">
        <v>6</v>
      </c>
      <c r="J11" s="17" t="s">
        <v>31</v>
      </c>
      <c r="K11" s="17" t="s">
        <v>2</v>
      </c>
      <c r="L11" s="17" t="s">
        <v>3</v>
      </c>
      <c r="M11" s="17" t="s">
        <v>4</v>
      </c>
      <c r="N11" s="17" t="s">
        <v>5</v>
      </c>
      <c r="O11" s="17" t="s">
        <v>6</v>
      </c>
      <c r="P11" s="48" t="s">
        <v>34</v>
      </c>
    </row>
    <row r="12" spans="2:17" x14ac:dyDescent="0.2">
      <c r="B12" s="3" t="s">
        <v>7</v>
      </c>
      <c r="C12" s="12"/>
      <c r="D12" s="12">
        <f>I8</f>
        <v>200000</v>
      </c>
      <c r="E12" s="12">
        <f>J8</f>
        <v>250000</v>
      </c>
      <c r="F12" s="12">
        <f t="shared" ref="F12:G12" si="1">K8</f>
        <v>350000</v>
      </c>
      <c r="G12" s="12">
        <f t="shared" si="1"/>
        <v>350000</v>
      </c>
      <c r="H12" s="12">
        <f>M8</f>
        <v>350000</v>
      </c>
      <c r="J12" s="15" t="s">
        <v>52</v>
      </c>
      <c r="K12" s="13">
        <f>($C$5/6)+($D$5/6)</f>
        <v>21000</v>
      </c>
      <c r="L12" s="13">
        <f t="shared" ref="L12:O12" si="2">($C$5/6)+($D$5/6)</f>
        <v>21000</v>
      </c>
      <c r="M12" s="13">
        <f t="shared" si="2"/>
        <v>21000</v>
      </c>
      <c r="N12" s="13">
        <f t="shared" si="2"/>
        <v>21000</v>
      </c>
      <c r="O12" s="13">
        <f t="shared" si="2"/>
        <v>21000</v>
      </c>
      <c r="P12" s="19">
        <f>SUM(C5:E5)-SUM(K12:O12)</f>
        <v>21000</v>
      </c>
    </row>
    <row r="13" spans="2:17" x14ac:dyDescent="0.2">
      <c r="B13" s="3" t="s">
        <v>8</v>
      </c>
      <c r="C13" s="12"/>
      <c r="D13" s="12">
        <f>SUM(D14:D18)</f>
        <v>179500</v>
      </c>
      <c r="E13" s="12">
        <f t="shared" ref="E13:H13" si="3">SUM(E14:E18)</f>
        <v>203477.26127259899</v>
      </c>
      <c r="F13" s="12">
        <f t="shared" si="3"/>
        <v>292372.70344700589</v>
      </c>
      <c r="G13" s="12">
        <f t="shared" si="3"/>
        <v>291179.78099536535</v>
      </c>
      <c r="H13" s="12">
        <f t="shared" si="3"/>
        <v>267391.42474759353</v>
      </c>
      <c r="J13" s="16" t="s">
        <v>32</v>
      </c>
      <c r="K13" s="13">
        <f>$C$6/4</f>
        <v>22500</v>
      </c>
      <c r="L13" s="13">
        <f t="shared" ref="L13:N13" si="4">$C$6/4</f>
        <v>22500</v>
      </c>
      <c r="M13" s="13">
        <f t="shared" si="4"/>
        <v>22500</v>
      </c>
      <c r="N13" s="13">
        <f t="shared" si="4"/>
        <v>22500</v>
      </c>
      <c r="O13" s="13">
        <v>0</v>
      </c>
      <c r="P13" s="19">
        <f>C6-SUM(K13:O13)</f>
        <v>0</v>
      </c>
    </row>
    <row r="14" spans="2:17" x14ac:dyDescent="0.2">
      <c r="B14" s="4" t="s">
        <v>16</v>
      </c>
      <c r="C14" s="12"/>
      <c r="D14" s="12">
        <f>I3</f>
        <v>50000</v>
      </c>
      <c r="E14" s="12">
        <f t="shared" ref="E14:H16" si="5">J3</f>
        <v>55000</v>
      </c>
      <c r="F14" s="12">
        <f t="shared" si="5"/>
        <v>100000</v>
      </c>
      <c r="G14" s="12">
        <f t="shared" si="5"/>
        <v>100000</v>
      </c>
      <c r="H14" s="12">
        <f t="shared" si="5"/>
        <v>100000</v>
      </c>
      <c r="J14" s="15" t="s">
        <v>33</v>
      </c>
      <c r="K14" s="13">
        <f>$C$4/3</f>
        <v>0</v>
      </c>
      <c r="L14" s="13">
        <f t="shared" ref="L14:M14" si="6">$C$4/3</f>
        <v>0</v>
      </c>
      <c r="M14" s="13">
        <f t="shared" si="6"/>
        <v>0</v>
      </c>
      <c r="N14" s="13">
        <v>0</v>
      </c>
      <c r="O14" s="13">
        <v>0</v>
      </c>
      <c r="P14" s="19">
        <f>C4-SUM(K14:O14)</f>
        <v>0</v>
      </c>
    </row>
    <row r="15" spans="2:17" x14ac:dyDescent="0.2">
      <c r="B15" s="4" t="s">
        <v>17</v>
      </c>
      <c r="C15" s="12"/>
      <c r="D15" s="12">
        <f>I4</f>
        <v>60000</v>
      </c>
      <c r="E15" s="12">
        <f t="shared" si="5"/>
        <v>75000</v>
      </c>
      <c r="F15" s="12">
        <f t="shared" si="5"/>
        <v>105000</v>
      </c>
      <c r="G15" s="12">
        <f t="shared" si="5"/>
        <v>105000</v>
      </c>
      <c r="H15" s="12">
        <f t="shared" si="5"/>
        <v>105000</v>
      </c>
      <c r="J15" s="6" t="s">
        <v>35</v>
      </c>
      <c r="K15" s="21">
        <f>SUM(K12:K14)</f>
        <v>43500</v>
      </c>
      <c r="L15" s="21">
        <f t="shared" ref="L15:O15" si="7">SUM(L12:L14)</f>
        <v>43500</v>
      </c>
      <c r="M15" s="21">
        <f t="shared" si="7"/>
        <v>43500</v>
      </c>
      <c r="N15" s="21">
        <f t="shared" si="7"/>
        <v>43500</v>
      </c>
      <c r="O15" s="21">
        <f t="shared" si="7"/>
        <v>21000</v>
      </c>
      <c r="P15" s="22">
        <f>SUM(P12:P14)</f>
        <v>21000</v>
      </c>
      <c r="Q15" s="20"/>
    </row>
    <row r="16" spans="2:17" x14ac:dyDescent="0.2">
      <c r="B16" s="4" t="s">
        <v>9</v>
      </c>
      <c r="C16" s="12"/>
      <c r="D16" s="12">
        <f>I5</f>
        <v>20000</v>
      </c>
      <c r="E16" s="12">
        <f t="shared" si="5"/>
        <v>25000</v>
      </c>
      <c r="F16" s="12">
        <f t="shared" si="5"/>
        <v>40000</v>
      </c>
      <c r="G16" s="12">
        <f t="shared" si="5"/>
        <v>40000</v>
      </c>
      <c r="H16" s="12">
        <f t="shared" si="5"/>
        <v>40000</v>
      </c>
      <c r="J16" s="1"/>
    </row>
    <row r="17" spans="2:15" x14ac:dyDescent="0.2">
      <c r="B17" s="4" t="s">
        <v>10</v>
      </c>
      <c r="C17" s="12"/>
      <c r="D17" s="12">
        <f>K15</f>
        <v>43500</v>
      </c>
      <c r="E17" s="12">
        <f t="shared" ref="E17:H17" si="8">L15</f>
        <v>43500</v>
      </c>
      <c r="F17" s="12">
        <f t="shared" si="8"/>
        <v>43500</v>
      </c>
      <c r="G17" s="12">
        <f t="shared" si="8"/>
        <v>43500</v>
      </c>
      <c r="H17" s="12">
        <f t="shared" si="8"/>
        <v>21000</v>
      </c>
      <c r="J17" s="1" t="s">
        <v>53</v>
      </c>
    </row>
    <row r="18" spans="2:15" x14ac:dyDescent="0.2">
      <c r="B18" s="5" t="s">
        <v>11</v>
      </c>
      <c r="C18" s="12"/>
      <c r="D18" s="12">
        <f>M19</f>
        <v>6000</v>
      </c>
      <c r="E18" s="12">
        <f>M20</f>
        <v>4977.2612725989811</v>
      </c>
      <c r="F18" s="12">
        <f>M21</f>
        <v>3872.7034470058811</v>
      </c>
      <c r="G18" s="12">
        <f>M22</f>
        <v>2679.7809953653323</v>
      </c>
      <c r="H18" s="12">
        <f>M23</f>
        <v>1391.4247475935404</v>
      </c>
      <c r="J18" s="14" t="s">
        <v>15</v>
      </c>
      <c r="K18" s="9" t="s">
        <v>54</v>
      </c>
      <c r="L18" s="9" t="s">
        <v>55</v>
      </c>
      <c r="M18" s="9" t="s">
        <v>43</v>
      </c>
      <c r="N18" s="9" t="s">
        <v>44</v>
      </c>
      <c r="O18" s="9" t="s">
        <v>56</v>
      </c>
    </row>
    <row r="19" spans="2:15" x14ac:dyDescent="0.2">
      <c r="B19" s="6" t="s">
        <v>12</v>
      </c>
      <c r="C19" s="12"/>
      <c r="D19" s="12">
        <f>D12-D13</f>
        <v>20500</v>
      </c>
      <c r="E19" s="12">
        <f>E12-E13</f>
        <v>46522.738727401011</v>
      </c>
      <c r="F19" s="12">
        <f t="shared" ref="F19:H19" si="9">F12-F13</f>
        <v>57627.296552994114</v>
      </c>
      <c r="G19" s="12">
        <f t="shared" si="9"/>
        <v>58820.219004634651</v>
      </c>
      <c r="H19" s="12">
        <f t="shared" si="9"/>
        <v>82608.575252406474</v>
      </c>
      <c r="J19" s="9">
        <v>1</v>
      </c>
      <c r="K19" s="13">
        <v>75000</v>
      </c>
      <c r="L19" s="13">
        <f>$K$19*((0.08*1.08^5)/(1.08^5-1))</f>
        <v>18784.234092512736</v>
      </c>
      <c r="M19" s="13">
        <f>0.08*K19</f>
        <v>6000</v>
      </c>
      <c r="N19" s="13">
        <f>L19-M19</f>
        <v>12784.234092512736</v>
      </c>
      <c r="O19" s="13">
        <f>K19-N19</f>
        <v>62215.765907487264</v>
      </c>
    </row>
    <row r="20" spans="2:15" x14ac:dyDescent="0.2">
      <c r="B20" s="7" t="s">
        <v>13</v>
      </c>
      <c r="C20" s="12"/>
      <c r="D20" s="12">
        <f>0.25*D19</f>
        <v>5125</v>
      </c>
      <c r="E20" s="12">
        <f t="shared" ref="E20:G20" si="10">0.25*E19</f>
        <v>11630.684681850253</v>
      </c>
      <c r="F20" s="12">
        <f t="shared" si="10"/>
        <v>14406.824138248528</v>
      </c>
      <c r="G20" s="12">
        <f t="shared" si="10"/>
        <v>14705.054751158663</v>
      </c>
      <c r="H20" s="12">
        <f>0.25*H19</f>
        <v>20652.143813101618</v>
      </c>
      <c r="J20" s="14">
        <v>2</v>
      </c>
      <c r="K20" s="13">
        <f>O19</f>
        <v>62215.765907487264</v>
      </c>
      <c r="L20" s="13">
        <f t="shared" ref="L20:L23" si="11">$K$19*((0.08*1.08^5)/(1.08^5-1))</f>
        <v>18784.234092512736</v>
      </c>
      <c r="M20" s="13">
        <f>0.08*K20</f>
        <v>4977.2612725989811</v>
      </c>
      <c r="N20" s="13">
        <f>L20-M20</f>
        <v>13806.972819913753</v>
      </c>
      <c r="O20" s="13">
        <f>K20-N20</f>
        <v>48408.793087573511</v>
      </c>
    </row>
    <row r="21" spans="2:15" x14ac:dyDescent="0.2">
      <c r="B21" s="7" t="s">
        <v>12</v>
      </c>
      <c r="C21" s="12"/>
      <c r="D21" s="12"/>
      <c r="E21" s="12"/>
      <c r="F21" s="12"/>
      <c r="G21" s="12"/>
      <c r="H21" s="12"/>
      <c r="J21" s="9">
        <v>3</v>
      </c>
      <c r="K21" s="13">
        <f>O20</f>
        <v>48408.793087573511</v>
      </c>
      <c r="L21" s="13">
        <f t="shared" si="11"/>
        <v>18784.234092512736</v>
      </c>
      <c r="M21" s="13">
        <f>0.08*K21</f>
        <v>3872.7034470058811</v>
      </c>
      <c r="N21" s="13">
        <f>L21-M21</f>
        <v>14911.530645506855</v>
      </c>
      <c r="O21" s="13">
        <f>K21-N21</f>
        <v>33497.262442066654</v>
      </c>
    </row>
    <row r="22" spans="2:15" x14ac:dyDescent="0.2">
      <c r="B22" s="6" t="s">
        <v>18</v>
      </c>
      <c r="C22" s="12"/>
      <c r="D22" s="12">
        <f>D19-D20</f>
        <v>15375</v>
      </c>
      <c r="E22" s="12">
        <f>E19-E20</f>
        <v>34892.054045550758</v>
      </c>
      <c r="F22" s="12">
        <f>F19-F20</f>
        <v>43220.472414745585</v>
      </c>
      <c r="G22" s="12">
        <f>G19-G20</f>
        <v>44115.164253475989</v>
      </c>
      <c r="H22" s="12">
        <f>H19-H20</f>
        <v>61956.431439304855</v>
      </c>
      <c r="J22" s="14">
        <v>4</v>
      </c>
      <c r="K22" s="13">
        <f>O21</f>
        <v>33497.262442066654</v>
      </c>
      <c r="L22" s="13">
        <f t="shared" si="11"/>
        <v>18784.234092512736</v>
      </c>
      <c r="M22" s="13">
        <f>0.08*K22</f>
        <v>2679.7809953653323</v>
      </c>
      <c r="N22" s="13">
        <f>L22-M22</f>
        <v>16104.453097147403</v>
      </c>
      <c r="O22" s="13">
        <f t="shared" ref="O22" si="12">K22-N22</f>
        <v>17392.809344919253</v>
      </c>
    </row>
    <row r="23" spans="2:15" x14ac:dyDescent="0.2">
      <c r="B23" s="1"/>
      <c r="J23" s="9">
        <v>5</v>
      </c>
      <c r="K23" s="13">
        <f t="shared" ref="K23" si="13">O22</f>
        <v>17392.809344919253</v>
      </c>
      <c r="L23" s="13">
        <f t="shared" si="11"/>
        <v>18784.234092512736</v>
      </c>
      <c r="M23" s="13">
        <f t="shared" ref="M23" si="14">0.08*K23</f>
        <v>1391.4247475935404</v>
      </c>
      <c r="N23" s="13">
        <f t="shared" ref="N23" si="15">L23-M23</f>
        <v>17392.809344919195</v>
      </c>
      <c r="O23" s="13">
        <f>K23-N23</f>
        <v>5.8207660913467407E-11</v>
      </c>
    </row>
    <row r="24" spans="2:15" x14ac:dyDescent="0.2">
      <c r="B24" s="49" t="s">
        <v>19</v>
      </c>
      <c r="C24" s="49"/>
      <c r="D24" s="49"/>
      <c r="E24" s="49"/>
      <c r="F24" s="49"/>
      <c r="G24" s="49"/>
      <c r="H24" s="49"/>
      <c r="J24" s="1"/>
    </row>
    <row r="25" spans="2:15" x14ac:dyDescent="0.2">
      <c r="B25" s="2"/>
      <c r="C25" s="10" t="s">
        <v>1</v>
      </c>
      <c r="D25" s="10" t="s">
        <v>2</v>
      </c>
      <c r="E25" s="10" t="s">
        <v>3</v>
      </c>
      <c r="F25" s="10" t="s">
        <v>4</v>
      </c>
      <c r="G25" s="10" t="s">
        <v>5</v>
      </c>
      <c r="H25" s="10" t="s">
        <v>6</v>
      </c>
      <c r="J25" s="1"/>
    </row>
    <row r="26" spans="2:15" x14ac:dyDescent="0.2">
      <c r="B26" s="6" t="s">
        <v>20</v>
      </c>
      <c r="C26" s="12"/>
      <c r="D26" s="23">
        <f>D27+D28</f>
        <v>58875</v>
      </c>
      <c r="E26" s="23">
        <f t="shared" ref="E26:H26" si="16">E27+E28</f>
        <v>78392.054045550758</v>
      </c>
      <c r="F26" s="23">
        <f t="shared" si="16"/>
        <v>86720.472414745585</v>
      </c>
      <c r="G26" s="23">
        <f t="shared" si="16"/>
        <v>87615.164253475989</v>
      </c>
      <c r="H26" s="23">
        <f t="shared" si="16"/>
        <v>82956.431439304855</v>
      </c>
    </row>
    <row r="27" spans="2:15" x14ac:dyDescent="0.2">
      <c r="B27" s="5" t="s">
        <v>14</v>
      </c>
      <c r="C27" s="12"/>
      <c r="D27" s="12">
        <f>D22</f>
        <v>15375</v>
      </c>
      <c r="E27" s="12">
        <f t="shared" ref="E27:H27" si="17">E22</f>
        <v>34892.054045550758</v>
      </c>
      <c r="F27" s="12">
        <f t="shared" si="17"/>
        <v>43220.472414745585</v>
      </c>
      <c r="G27" s="12">
        <f t="shared" si="17"/>
        <v>44115.164253475989</v>
      </c>
      <c r="H27" s="12">
        <f t="shared" si="17"/>
        <v>61956.431439304855</v>
      </c>
    </row>
    <row r="28" spans="2:15" x14ac:dyDescent="0.2">
      <c r="B28" s="5" t="s">
        <v>10</v>
      </c>
      <c r="C28" s="12"/>
      <c r="D28" s="12">
        <f>D17</f>
        <v>43500</v>
      </c>
      <c r="E28" s="12">
        <f t="shared" ref="E28:H28" si="18">E17</f>
        <v>43500</v>
      </c>
      <c r="F28" s="12">
        <f t="shared" si="18"/>
        <v>43500</v>
      </c>
      <c r="G28" s="12">
        <f t="shared" si="18"/>
        <v>43500</v>
      </c>
      <c r="H28" s="12">
        <f t="shared" si="18"/>
        <v>21000</v>
      </c>
    </row>
    <row r="29" spans="2:15" x14ac:dyDescent="0.2">
      <c r="B29" s="6" t="s">
        <v>21</v>
      </c>
      <c r="C29" s="23">
        <f>SUM(C30:C31)-SUM(C32:C33)</f>
        <v>185000</v>
      </c>
      <c r="D29" s="23">
        <f t="shared" ref="D29:G29" si="19">SUM(D30:D31)-SUM(D32:D33)</f>
        <v>71000</v>
      </c>
      <c r="E29" s="23">
        <f t="shared" si="19"/>
        <v>10000</v>
      </c>
      <c r="F29" s="23">
        <f t="shared" si="19"/>
        <v>5000</v>
      </c>
      <c r="G29" s="23">
        <f t="shared" si="19"/>
        <v>0</v>
      </c>
      <c r="H29" s="23">
        <f>SUM(H30:H31)-SUM(H32:H33)</f>
        <v>-76000</v>
      </c>
    </row>
    <row r="30" spans="2:15" x14ac:dyDescent="0.2">
      <c r="B30" s="5" t="s">
        <v>22</v>
      </c>
      <c r="C30" s="12">
        <v>165000</v>
      </c>
      <c r="D30" s="12">
        <f>D5</f>
        <v>51000</v>
      </c>
      <c r="E30" s="12">
        <f>E5</f>
        <v>0</v>
      </c>
      <c r="F30" s="12"/>
      <c r="G30" s="12"/>
      <c r="H30" s="12"/>
    </row>
    <row r="31" spans="2:15" x14ac:dyDescent="0.2">
      <c r="B31" s="4" t="s">
        <v>23</v>
      </c>
      <c r="C31" s="12">
        <f>C7</f>
        <v>20000</v>
      </c>
      <c r="D31" s="12">
        <f>D7</f>
        <v>20000</v>
      </c>
      <c r="E31" s="12">
        <f>E7</f>
        <v>10000</v>
      </c>
      <c r="F31" s="12">
        <f>F7</f>
        <v>5000</v>
      </c>
      <c r="G31" s="12"/>
      <c r="H31" s="12"/>
    </row>
    <row r="32" spans="2:15" x14ac:dyDescent="0.2">
      <c r="B32" s="5" t="s">
        <v>24</v>
      </c>
      <c r="C32" s="12"/>
      <c r="D32" s="12"/>
      <c r="E32" s="12"/>
      <c r="F32" s="12"/>
      <c r="G32" s="12"/>
      <c r="H32" s="12">
        <f>P15</f>
        <v>21000</v>
      </c>
      <c r="I32" s="20"/>
    </row>
    <row r="33" spans="2:9" x14ac:dyDescent="0.2">
      <c r="B33" s="5" t="s">
        <v>25</v>
      </c>
      <c r="C33" s="12"/>
      <c r="D33" s="12"/>
      <c r="E33" s="12"/>
      <c r="F33" s="12"/>
      <c r="G33" s="12"/>
      <c r="H33" s="12">
        <f>SUM(C31:F31)</f>
        <v>55000</v>
      </c>
    </row>
    <row r="34" spans="2:9" x14ac:dyDescent="0.2">
      <c r="B34" s="6" t="s">
        <v>26</v>
      </c>
      <c r="C34" s="12">
        <f>C35-C36</f>
        <v>75000</v>
      </c>
      <c r="D34" s="12">
        <f t="shared" ref="D34:H34" si="20">D35-D36</f>
        <v>-12784.234092512736</v>
      </c>
      <c r="E34" s="12">
        <f t="shared" si="20"/>
        <v>-13806.972819913753</v>
      </c>
      <c r="F34" s="12">
        <f t="shared" si="20"/>
        <v>-14911.530645506855</v>
      </c>
      <c r="G34" s="12">
        <f t="shared" si="20"/>
        <v>-16104.453097147403</v>
      </c>
      <c r="H34" s="12">
        <f t="shared" si="20"/>
        <v>-17392.809344919195</v>
      </c>
    </row>
    <row r="35" spans="2:9" x14ac:dyDescent="0.2">
      <c r="B35" s="5" t="s">
        <v>27</v>
      </c>
      <c r="C35" s="12">
        <f>K19</f>
        <v>75000</v>
      </c>
      <c r="D35" s="12"/>
      <c r="E35" s="12"/>
      <c r="F35" s="12"/>
      <c r="G35" s="12"/>
      <c r="H35" s="12"/>
    </row>
    <row r="36" spans="2:9" x14ac:dyDescent="0.2">
      <c r="B36" s="5" t="s">
        <v>28</v>
      </c>
      <c r="C36" s="12"/>
      <c r="D36" s="12">
        <f>N19</f>
        <v>12784.234092512736</v>
      </c>
      <c r="E36" s="12">
        <f>N20</f>
        <v>13806.972819913753</v>
      </c>
      <c r="F36" s="12">
        <f>N21</f>
        <v>14911.530645506855</v>
      </c>
      <c r="G36" s="12">
        <f>N22</f>
        <v>16104.453097147403</v>
      </c>
      <c r="H36" s="12">
        <f>N23</f>
        <v>17392.809344919195</v>
      </c>
    </row>
    <row r="37" spans="2:9" x14ac:dyDescent="0.2">
      <c r="B37" s="8" t="s">
        <v>29</v>
      </c>
      <c r="C37" s="12">
        <f>C26-C29+C34</f>
        <v>-110000</v>
      </c>
      <c r="D37" s="12">
        <f t="shared" ref="D37:G37" si="21">D26-D29+D34</f>
        <v>-24909.234092512736</v>
      </c>
      <c r="E37" s="12">
        <f>E26-E29+E34</f>
        <v>54585.081225637005</v>
      </c>
      <c r="F37" s="12">
        <f t="shared" si="21"/>
        <v>66808.941769238736</v>
      </c>
      <c r="G37" s="12">
        <f t="shared" si="21"/>
        <v>71510.711156328587</v>
      </c>
      <c r="H37" s="12">
        <f>H26-H29+H34</f>
        <v>141563.62209438565</v>
      </c>
    </row>
    <row r="38" spans="2:9" x14ac:dyDescent="0.2">
      <c r="B38" s="1"/>
    </row>
    <row r="39" spans="2:9" x14ac:dyDescent="0.2">
      <c r="B39" s="28" t="s">
        <v>36</v>
      </c>
      <c r="C39" s="24">
        <f>NPV(14%,D37:H37)+C37</f>
        <v>71109.165945044486</v>
      </c>
    </row>
    <row r="40" spans="2:9" x14ac:dyDescent="0.2">
      <c r="B40" s="28" t="s">
        <v>37</v>
      </c>
      <c r="C40" s="25">
        <f>IRR(C37:H37)</f>
        <v>0.29019119628042112</v>
      </c>
    </row>
    <row r="41" spans="2:9" x14ac:dyDescent="0.2">
      <c r="B41" s="28"/>
      <c r="D41" s="11" t="s">
        <v>15</v>
      </c>
      <c r="E41" s="42" t="s">
        <v>57</v>
      </c>
      <c r="F41" s="42" t="s">
        <v>58</v>
      </c>
      <c r="H41" s="46" t="s">
        <v>58</v>
      </c>
      <c r="I41" s="46" t="s">
        <v>57</v>
      </c>
    </row>
    <row r="42" spans="2:9" x14ac:dyDescent="0.2">
      <c r="B42" s="1"/>
      <c r="D42" s="11">
        <v>0</v>
      </c>
      <c r="E42" s="26">
        <f>C37</f>
        <v>-110000</v>
      </c>
      <c r="F42" s="26">
        <f>C37</f>
        <v>-110000</v>
      </c>
      <c r="G42" s="11" t="s">
        <v>38</v>
      </c>
      <c r="H42" s="24">
        <f>F46</f>
        <v>57995.50005869157</v>
      </c>
      <c r="I42" s="20">
        <f>E46</f>
        <v>11504.203816936999</v>
      </c>
    </row>
    <row r="43" spans="2:9" x14ac:dyDescent="0.2">
      <c r="D43" s="11">
        <v>1</v>
      </c>
      <c r="E43" s="26">
        <f>E42+D37*(1+0.1)^-D43</f>
        <v>-132644.75826592068</v>
      </c>
      <c r="F43" s="26">
        <f>F42+D37</f>
        <v>-134909.23409251275</v>
      </c>
      <c r="G43" s="11" t="s">
        <v>39</v>
      </c>
      <c r="H43" s="11">
        <v>0</v>
      </c>
      <c r="I43">
        <v>0</v>
      </c>
    </row>
    <row r="44" spans="2:9" x14ac:dyDescent="0.2">
      <c r="B44" s="1"/>
      <c r="D44" s="11">
        <v>2</v>
      </c>
      <c r="E44" s="26">
        <f>E43+E37*(1+0.1)^-D44</f>
        <v>-87533.120889361177</v>
      </c>
      <c r="F44" s="26">
        <f>F43+E37</f>
        <v>-80324.152866875753</v>
      </c>
      <c r="G44" s="11" t="s">
        <v>40</v>
      </c>
      <c r="H44" s="24">
        <f>F47</f>
        <v>199559.12215307722</v>
      </c>
      <c r="I44" s="20">
        <f>E47</f>
        <v>99404.075344829151</v>
      </c>
    </row>
    <row r="45" spans="2:9" x14ac:dyDescent="0.2">
      <c r="B45" s="1"/>
      <c r="D45" s="11">
        <v>3</v>
      </c>
      <c r="E45" s="26">
        <f>E44+F37*(1+0.1)^-D45</f>
        <v>-37338.574105560489</v>
      </c>
      <c r="F45" s="26">
        <f>F44+F37</f>
        <v>-13515.211097637017</v>
      </c>
    </row>
    <row r="46" spans="2:9" x14ac:dyDescent="0.2">
      <c r="B46" s="1"/>
      <c r="D46" s="11">
        <v>4</v>
      </c>
      <c r="E46" s="26">
        <f>E45+G37*(1+0.1)^-D46</f>
        <v>11504.203816936999</v>
      </c>
      <c r="F46" s="26">
        <f>F45+G37</f>
        <v>57995.50005869157</v>
      </c>
      <c r="G46" s="11" t="s">
        <v>41</v>
      </c>
      <c r="H46" s="47">
        <f>((1/(H44-H42))*(H43-H42))+4</f>
        <v>3.5903220106926632</v>
      </c>
      <c r="I46" s="47">
        <f>((1/(I44-I42))*(I43-I42))+4</f>
        <v>3.8691214945258876</v>
      </c>
    </row>
    <row r="47" spans="2:9" x14ac:dyDescent="0.2">
      <c r="B47" s="1"/>
      <c r="D47" s="11">
        <v>5</v>
      </c>
      <c r="E47" s="26">
        <f>E46+H37*(1+0.1)^-D47</f>
        <v>99404.075344829151</v>
      </c>
      <c r="F47" s="24">
        <f>F46+H37</f>
        <v>199559.12215307722</v>
      </c>
    </row>
    <row r="48" spans="2:9" x14ac:dyDescent="0.2">
      <c r="B48" s="1"/>
    </row>
    <row r="51" spans="2:17" s="11" customFormat="1" x14ac:dyDescent="0.2">
      <c r="B51" s="1"/>
      <c r="I51"/>
      <c r="J51"/>
      <c r="K51"/>
      <c r="L51"/>
      <c r="M51"/>
      <c r="N51"/>
      <c r="O51"/>
      <c r="P51"/>
      <c r="Q51"/>
    </row>
    <row r="52" spans="2:17" s="11" customFormat="1" x14ac:dyDescent="0.2">
      <c r="B52" s="1"/>
      <c r="K52"/>
      <c r="L52"/>
      <c r="M52"/>
      <c r="N52"/>
      <c r="O52"/>
      <c r="P52"/>
      <c r="Q52"/>
    </row>
    <row r="53" spans="2:17" s="11" customFormat="1" x14ac:dyDescent="0.2">
      <c r="B53" s="1"/>
      <c r="K53"/>
      <c r="L53"/>
      <c r="M53"/>
      <c r="N53"/>
      <c r="O53"/>
      <c r="P53"/>
      <c r="Q53"/>
    </row>
    <row r="54" spans="2:17" s="11" customFormat="1" x14ac:dyDescent="0.2">
      <c r="B54" s="1"/>
      <c r="I54"/>
      <c r="J54"/>
      <c r="K54"/>
      <c r="L54"/>
      <c r="M54"/>
      <c r="N54"/>
      <c r="O54"/>
      <c r="P54"/>
      <c r="Q54"/>
    </row>
    <row r="55" spans="2:17" x14ac:dyDescent="0.2">
      <c r="B55" s="1"/>
    </row>
    <row r="56" spans="2:17" s="11" customFormat="1" x14ac:dyDescent="0.2">
      <c r="B56"/>
      <c r="I56"/>
      <c r="J56"/>
      <c r="K56"/>
      <c r="L56"/>
      <c r="M56"/>
      <c r="N56"/>
      <c r="O56"/>
      <c r="P56"/>
      <c r="Q56"/>
    </row>
    <row r="57" spans="2:17" s="11" customFormat="1" x14ac:dyDescent="0.2">
      <c r="B57" s="1"/>
      <c r="I57"/>
      <c r="J57"/>
      <c r="K57"/>
      <c r="L57"/>
      <c r="M57"/>
      <c r="N57"/>
      <c r="O57"/>
      <c r="P57"/>
      <c r="Q57"/>
    </row>
    <row r="58" spans="2:17" s="11" customFormat="1" x14ac:dyDescent="0.2">
      <c r="B58" s="1"/>
      <c r="I58"/>
      <c r="J58"/>
      <c r="K58"/>
      <c r="L58"/>
      <c r="M58"/>
      <c r="N58"/>
      <c r="O58"/>
      <c r="P58"/>
      <c r="Q58"/>
    </row>
    <row r="59" spans="2:17" s="11" customFormat="1" x14ac:dyDescent="0.2">
      <c r="B59" s="1"/>
      <c r="I59"/>
      <c r="J59"/>
      <c r="K59"/>
      <c r="L59"/>
      <c r="M59"/>
      <c r="N59"/>
      <c r="O59"/>
      <c r="P59"/>
      <c r="Q59"/>
    </row>
    <row r="60" spans="2:17" s="11" customFormat="1" x14ac:dyDescent="0.2">
      <c r="B60" s="1"/>
      <c r="I60"/>
      <c r="J60"/>
      <c r="K60"/>
      <c r="L60"/>
      <c r="M60"/>
      <c r="N60"/>
      <c r="O60"/>
      <c r="P60"/>
      <c r="Q60"/>
    </row>
    <row r="61" spans="2:17" x14ac:dyDescent="0.2">
      <c r="B61" s="1"/>
    </row>
    <row r="63" spans="2:17" x14ac:dyDescent="0.2">
      <c r="B63" s="1"/>
    </row>
    <row r="64" spans="2:17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</sheetData>
  <mergeCells count="2">
    <mergeCell ref="B10:H10"/>
    <mergeCell ref="B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Ex. 1</vt:lpstr>
      <vt:lpstr>Ex. 2</vt:lpstr>
      <vt:lpstr>Ex. 3</vt:lpstr>
      <vt:lpstr>Ex. Teste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2016-01-29T15:48:35Z</dcterms:modified>
</cp:coreProperties>
</file>